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rogetto sismica --\progetto sismica\"/>
    </mc:Choice>
  </mc:AlternateContent>
  <bookViews>
    <workbookView xWindow="240" yWindow="60" windowWidth="20055" windowHeight="7950"/>
  </bookViews>
  <sheets>
    <sheet name="analisi dei carichi" sheetId="1" r:id="rId1"/>
    <sheet name="travi" sheetId="16" r:id="rId2"/>
    <sheet name="pilastri" sheetId="17" r:id="rId3"/>
    <sheet name="masse di piano " sheetId="18" r:id="rId4"/>
    <sheet name="Fx  sollecitazioni e coppie" sheetId="19" r:id="rId5"/>
    <sheet name="Fy sollecitazioni e coppie" sheetId="20" r:id="rId6"/>
    <sheet name="spostamenti in x" sheetId="21" r:id="rId7"/>
    <sheet name="spostamento in y" sheetId="22" r:id="rId8"/>
    <sheet name="confronti" sheetId="23" r:id="rId9"/>
    <sheet name="telai in x " sheetId="24" r:id="rId10"/>
    <sheet name="telai in y" sheetId="25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calcPr calcId="152511"/>
</workbook>
</file>

<file path=xl/calcChain.xml><?xml version="1.0" encoding="utf-8"?>
<calcChain xmlns="http://schemas.openxmlformats.org/spreadsheetml/2006/main">
  <c r="Y3" i="25" l="1"/>
  <c r="T91" i="25"/>
  <c r="V91" i="25" s="1"/>
  <c r="T92" i="25"/>
  <c r="T89" i="25"/>
  <c r="V89" i="25" s="1"/>
  <c r="T90" i="25"/>
  <c r="T87" i="25"/>
  <c r="V87" i="25" s="1"/>
  <c r="T88" i="25"/>
  <c r="T85" i="25"/>
  <c r="V85" i="25" s="1"/>
  <c r="T86" i="25"/>
  <c r="T83" i="25"/>
  <c r="V83" i="25" s="1"/>
  <c r="T84" i="25"/>
  <c r="T81" i="25"/>
  <c r="V81" i="25" s="1"/>
  <c r="T82" i="25"/>
  <c r="T79" i="25"/>
  <c r="V79" i="25" s="1"/>
  <c r="T80" i="25"/>
  <c r="T77" i="25"/>
  <c r="V77" i="25" s="1"/>
  <c r="T78" i="25"/>
  <c r="T75" i="25"/>
  <c r="V75" i="25" s="1"/>
  <c r="T76" i="25"/>
  <c r="T73" i="25"/>
  <c r="V73" i="25" s="1"/>
  <c r="T74" i="25"/>
  <c r="T71" i="25"/>
  <c r="V71" i="25" s="1"/>
  <c r="T72" i="25"/>
  <c r="T69" i="25"/>
  <c r="V69" i="25" s="1"/>
  <c r="T70" i="25"/>
  <c r="T67" i="25"/>
  <c r="V67" i="25" s="1"/>
  <c r="X62" i="25" s="1"/>
  <c r="AA9" i="25" s="1"/>
  <c r="T68" i="25"/>
  <c r="T65" i="25"/>
  <c r="V65" i="25" s="1"/>
  <c r="X61" i="25" s="1"/>
  <c r="AA8" i="25" s="1"/>
  <c r="T66" i="25"/>
  <c r="T63" i="25"/>
  <c r="V63" i="25" s="1"/>
  <c r="X60" i="25" s="1"/>
  <c r="AA7" i="25" s="1"/>
  <c r="T64" i="25"/>
  <c r="T61" i="25"/>
  <c r="V61" i="25" s="1"/>
  <c r="X59" i="25" s="1"/>
  <c r="AA6" i="25" s="1"/>
  <c r="T62" i="25"/>
  <c r="T59" i="25"/>
  <c r="V59" i="25" s="1"/>
  <c r="X58" i="25" s="1"/>
  <c r="AA5" i="25" s="1"/>
  <c r="T60" i="25"/>
  <c r="T57" i="25"/>
  <c r="V57" i="25" s="1"/>
  <c r="X57" i="25" s="1"/>
  <c r="AA4" i="25" s="1"/>
  <c r="T58" i="25"/>
  <c r="T56" i="25"/>
  <c r="G56" i="25"/>
  <c r="G57" i="25"/>
  <c r="I57" i="25" s="1"/>
  <c r="G58" i="25"/>
  <c r="G59" i="25"/>
  <c r="I59" i="25" s="1"/>
  <c r="G60" i="25"/>
  <c r="G61" i="25"/>
  <c r="I61" i="25" s="1"/>
  <c r="G62" i="25"/>
  <c r="G63" i="25"/>
  <c r="I63" i="25" s="1"/>
  <c r="G64" i="25"/>
  <c r="G65" i="25"/>
  <c r="I65" i="25" s="1"/>
  <c r="G66" i="25"/>
  <c r="G67" i="25"/>
  <c r="I67" i="25" s="1"/>
  <c r="G68" i="25"/>
  <c r="G69" i="25"/>
  <c r="I69" i="25" s="1"/>
  <c r="G70" i="25"/>
  <c r="G71" i="25"/>
  <c r="I71" i="25" s="1"/>
  <c r="G72" i="25"/>
  <c r="G73" i="25"/>
  <c r="I73" i="25" s="1"/>
  <c r="G74" i="25"/>
  <c r="G75" i="25"/>
  <c r="I75" i="25" s="1"/>
  <c r="G76" i="25"/>
  <c r="G77" i="25"/>
  <c r="I77" i="25" s="1"/>
  <c r="G78" i="25"/>
  <c r="G79" i="25"/>
  <c r="I79" i="25" s="1"/>
  <c r="G80" i="25"/>
  <c r="V3" i="25"/>
  <c r="Q49" i="25"/>
  <c r="Q50" i="25"/>
  <c r="Q47" i="25"/>
  <c r="Q48" i="25"/>
  <c r="Q45" i="25"/>
  <c r="Q46" i="25"/>
  <c r="Q43" i="25"/>
  <c r="Q44" i="25"/>
  <c r="Q41" i="25"/>
  <c r="Q42" i="25"/>
  <c r="Q39" i="25"/>
  <c r="Q40" i="25"/>
  <c r="Q37" i="25"/>
  <c r="Q38" i="25"/>
  <c r="Q35" i="25"/>
  <c r="Q36" i="25"/>
  <c r="Q33" i="25"/>
  <c r="Q34" i="25"/>
  <c r="Q31" i="25"/>
  <c r="Q32" i="25"/>
  <c r="Q29" i="25"/>
  <c r="Q30" i="25"/>
  <c r="Q27" i="25"/>
  <c r="Q28" i="25"/>
  <c r="Q25" i="25"/>
  <c r="Q26" i="25"/>
  <c r="Q23" i="25"/>
  <c r="Q24" i="25"/>
  <c r="Q21" i="25"/>
  <c r="Q22" i="25"/>
  <c r="Q19" i="25"/>
  <c r="Q20" i="25"/>
  <c r="Q17" i="25"/>
  <c r="Q18" i="25"/>
  <c r="Q15" i="25"/>
  <c r="Q16" i="25"/>
  <c r="Q13" i="25"/>
  <c r="S13" i="25" s="1"/>
  <c r="X9" i="25" s="1"/>
  <c r="Q14" i="25"/>
  <c r="S14" i="25" s="1"/>
  <c r="X10" i="25" s="1"/>
  <c r="Q11" i="25"/>
  <c r="S11" i="25" s="1"/>
  <c r="X8" i="25" s="1"/>
  <c r="Q12" i="25"/>
  <c r="S12" i="25" s="1"/>
  <c r="Q9" i="25"/>
  <c r="S9" i="25" s="1"/>
  <c r="X7" i="25" s="1"/>
  <c r="Q10" i="25"/>
  <c r="S10" i="25" s="1"/>
  <c r="Q7" i="25"/>
  <c r="S7" i="25" s="1"/>
  <c r="X6" i="25" s="1"/>
  <c r="Q8" i="25"/>
  <c r="S8" i="25" s="1"/>
  <c r="Q5" i="25"/>
  <c r="S5" i="25" s="1"/>
  <c r="X5" i="25" s="1"/>
  <c r="Q6" i="25"/>
  <c r="S6" i="25" s="1"/>
  <c r="Q3" i="25"/>
  <c r="S3" i="25" s="1"/>
  <c r="X4" i="25" s="1"/>
  <c r="Q4" i="25"/>
  <c r="S4" i="25" s="1"/>
  <c r="Q2" i="25"/>
  <c r="F37" i="25"/>
  <c r="F38" i="25"/>
  <c r="F35" i="25"/>
  <c r="F36" i="25"/>
  <c r="F33" i="25"/>
  <c r="F34" i="25"/>
  <c r="F31" i="25"/>
  <c r="F32" i="25"/>
  <c r="F29" i="25"/>
  <c r="F30" i="25"/>
  <c r="F27" i="25"/>
  <c r="F28" i="25"/>
  <c r="F25" i="25"/>
  <c r="F26" i="25"/>
  <c r="F23" i="25"/>
  <c r="F24" i="25"/>
  <c r="F21" i="25"/>
  <c r="F22" i="25"/>
  <c r="F19" i="25"/>
  <c r="F20" i="25"/>
  <c r="F17" i="25"/>
  <c r="F18" i="25"/>
  <c r="F15" i="25"/>
  <c r="F16" i="25"/>
  <c r="F13" i="25"/>
  <c r="H13" i="25" s="1"/>
  <c r="W9" i="25" s="1"/>
  <c r="F14" i="25"/>
  <c r="H14" i="25" s="1"/>
  <c r="W10" i="25" s="1"/>
  <c r="F11" i="25"/>
  <c r="H11" i="25" s="1"/>
  <c r="W8" i="25" s="1"/>
  <c r="F12" i="25"/>
  <c r="H12" i="25" s="1"/>
  <c r="F9" i="25"/>
  <c r="H9" i="25" s="1"/>
  <c r="W7" i="25" s="1"/>
  <c r="F10" i="25"/>
  <c r="H10" i="25" s="1"/>
  <c r="F7" i="25"/>
  <c r="H7" i="25" s="1"/>
  <c r="W6" i="25" s="1"/>
  <c r="F8" i="25"/>
  <c r="H8" i="25" s="1"/>
  <c r="F5" i="25"/>
  <c r="H5" i="25" s="1"/>
  <c r="W5" i="25" s="1"/>
  <c r="F6" i="25"/>
  <c r="H6" i="25" s="1"/>
  <c r="F3" i="25"/>
  <c r="H3" i="25" s="1"/>
  <c r="W4" i="25" s="1"/>
  <c r="F4" i="25"/>
  <c r="H4" i="25" s="1"/>
  <c r="F2" i="25"/>
  <c r="K62" i="25" l="1"/>
  <c r="Z9" i="25" s="1"/>
  <c r="K58" i="25"/>
  <c r="Z5" i="25" s="1"/>
  <c r="K60" i="25"/>
  <c r="Z7" i="25" s="1"/>
  <c r="K61" i="25"/>
  <c r="Z8" i="25" s="1"/>
  <c r="K59" i="25"/>
  <c r="Z6" i="25" s="1"/>
  <c r="K57" i="25"/>
  <c r="Z4" i="25" s="1"/>
  <c r="S3" i="24"/>
  <c r="U3" i="24"/>
  <c r="T3" i="24"/>
  <c r="P53" i="24"/>
  <c r="R53" i="24" s="1"/>
  <c r="P54" i="24"/>
  <c r="P51" i="24"/>
  <c r="R51" i="24" s="1"/>
  <c r="P52" i="24"/>
  <c r="P49" i="24"/>
  <c r="R49" i="24" s="1"/>
  <c r="P50" i="24"/>
  <c r="P47" i="24"/>
  <c r="R47" i="24" s="1"/>
  <c r="P48" i="24"/>
  <c r="P45" i="24"/>
  <c r="R45" i="24" s="1"/>
  <c r="P46" i="24"/>
  <c r="P43" i="24"/>
  <c r="R43" i="24" s="1"/>
  <c r="P44" i="24"/>
  <c r="P41" i="24"/>
  <c r="R41" i="24" s="1"/>
  <c r="T9" i="24" s="1"/>
  <c r="P42" i="24"/>
  <c r="P39" i="24"/>
  <c r="R39" i="24" s="1"/>
  <c r="T8" i="24" s="1"/>
  <c r="P40" i="24"/>
  <c r="P37" i="24"/>
  <c r="R37" i="24" s="1"/>
  <c r="T7" i="24" s="1"/>
  <c r="P38" i="24"/>
  <c r="P35" i="24"/>
  <c r="R35" i="24" s="1"/>
  <c r="T6" i="24" s="1"/>
  <c r="P36" i="24"/>
  <c r="P33" i="24"/>
  <c r="R33" i="24" s="1"/>
  <c r="T5" i="24" s="1"/>
  <c r="P34" i="24"/>
  <c r="P31" i="24"/>
  <c r="R31" i="24" s="1"/>
  <c r="T4" i="24" s="1"/>
  <c r="P32" i="24"/>
  <c r="P30" i="24"/>
  <c r="F65" i="24"/>
  <c r="H65" i="24" s="1"/>
  <c r="F66" i="24"/>
  <c r="F63" i="24"/>
  <c r="H63" i="24" s="1"/>
  <c r="F64" i="24"/>
  <c r="F61" i="24"/>
  <c r="H61" i="24" s="1"/>
  <c r="F62" i="24"/>
  <c r="F59" i="24"/>
  <c r="H59" i="24" s="1"/>
  <c r="F60" i="24"/>
  <c r="F57" i="24"/>
  <c r="H57" i="24" s="1"/>
  <c r="F58" i="24"/>
  <c r="F55" i="24"/>
  <c r="H55" i="24" s="1"/>
  <c r="F56" i="24"/>
  <c r="F53" i="24"/>
  <c r="H53" i="24" s="1"/>
  <c r="F54" i="24"/>
  <c r="F51" i="24"/>
  <c r="H51" i="24" s="1"/>
  <c r="F52" i="24"/>
  <c r="F49" i="24"/>
  <c r="H49" i="24" s="1"/>
  <c r="F50" i="24"/>
  <c r="F47" i="24"/>
  <c r="H47" i="24" s="1"/>
  <c r="F48" i="24"/>
  <c r="F45" i="24"/>
  <c r="H45" i="24" s="1"/>
  <c r="F46" i="24"/>
  <c r="F43" i="24"/>
  <c r="H43" i="24" s="1"/>
  <c r="F44" i="24"/>
  <c r="F41" i="24"/>
  <c r="H41" i="24" s="1"/>
  <c r="F42" i="24"/>
  <c r="F39" i="24"/>
  <c r="H39" i="24" s="1"/>
  <c r="I35" i="24" s="1"/>
  <c r="U8" i="24" s="1"/>
  <c r="F40" i="24"/>
  <c r="F37" i="24"/>
  <c r="H37" i="24" s="1"/>
  <c r="F38" i="24"/>
  <c r="F35" i="24"/>
  <c r="H35" i="24" s="1"/>
  <c r="I33" i="24" s="1"/>
  <c r="U6" i="24" s="1"/>
  <c r="F36" i="24"/>
  <c r="F33" i="24"/>
  <c r="H33" i="24" s="1"/>
  <c r="F34" i="24"/>
  <c r="F31" i="24"/>
  <c r="H31" i="24" s="1"/>
  <c r="I31" i="24" s="1"/>
  <c r="U4" i="24" s="1"/>
  <c r="F32" i="24"/>
  <c r="F30" i="24"/>
  <c r="Q10" i="24"/>
  <c r="R10" i="24"/>
  <c r="P3" i="24"/>
  <c r="M3" i="24"/>
  <c r="M4" i="24"/>
  <c r="M5" i="24"/>
  <c r="M6" i="24"/>
  <c r="M7" i="24"/>
  <c r="M8" i="24"/>
  <c r="M9" i="24"/>
  <c r="M10" i="24"/>
  <c r="M11" i="24"/>
  <c r="M12" i="24"/>
  <c r="M13" i="24"/>
  <c r="M14" i="24"/>
  <c r="M15" i="24"/>
  <c r="M16" i="24"/>
  <c r="M17" i="24"/>
  <c r="M18" i="24"/>
  <c r="M19" i="24"/>
  <c r="M20" i="24"/>
  <c r="M21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F3" i="24"/>
  <c r="I34" i="24" l="1"/>
  <c r="U7" i="24" s="1"/>
  <c r="R5" i="24"/>
  <c r="R9" i="24"/>
  <c r="I32" i="24"/>
  <c r="U5" i="24" s="1"/>
  <c r="I36" i="24"/>
  <c r="U9" i="24" s="1"/>
  <c r="Q4" i="24"/>
  <c r="R4" i="24"/>
  <c r="R8" i="24"/>
  <c r="Q5" i="24"/>
  <c r="Q8" i="24"/>
  <c r="Q6" i="24"/>
  <c r="Q9" i="24"/>
  <c r="Q7" i="24"/>
  <c r="R6" i="24"/>
  <c r="R7" i="24"/>
  <c r="B21" i="20"/>
  <c r="B21" i="19"/>
  <c r="AF45" i="16" l="1"/>
  <c r="B1" i="1" l="1"/>
  <c r="K15" i="23" l="1"/>
  <c r="I16" i="23"/>
  <c r="I15" i="23" l="1"/>
  <c r="C16" i="23"/>
  <c r="K35" i="23"/>
  <c r="K34" i="23"/>
  <c r="K33" i="23"/>
  <c r="K32" i="23"/>
  <c r="K31" i="23"/>
  <c r="K30" i="23"/>
  <c r="I35" i="23"/>
  <c r="I34" i="23"/>
  <c r="I33" i="23"/>
  <c r="I32" i="23"/>
  <c r="I31" i="23"/>
  <c r="I30" i="23"/>
  <c r="K26" i="23"/>
  <c r="K25" i="23"/>
  <c r="K24" i="23"/>
  <c r="K23" i="23"/>
  <c r="K22" i="23"/>
  <c r="K21" i="23"/>
  <c r="K20" i="23"/>
  <c r="I26" i="23"/>
  <c r="I25" i="23"/>
  <c r="I24" i="23"/>
  <c r="I23" i="23"/>
  <c r="I22" i="23"/>
  <c r="I21" i="23"/>
  <c r="I20" i="23"/>
  <c r="O63" i="23"/>
  <c r="O62" i="23"/>
  <c r="O61" i="23"/>
  <c r="O60" i="23"/>
  <c r="O59" i="23"/>
  <c r="O58" i="23"/>
  <c r="M63" i="23"/>
  <c r="M62" i="23"/>
  <c r="M61" i="23"/>
  <c r="M60" i="23"/>
  <c r="M59" i="23"/>
  <c r="M58" i="23"/>
  <c r="K63" i="23"/>
  <c r="K62" i="23"/>
  <c r="K61" i="23"/>
  <c r="K60" i="23"/>
  <c r="K59" i="23"/>
  <c r="K58" i="23"/>
  <c r="I63" i="23"/>
  <c r="I62" i="23"/>
  <c r="I61" i="23"/>
  <c r="I60" i="23"/>
  <c r="I59" i="23"/>
  <c r="I58" i="23"/>
  <c r="G63" i="23"/>
  <c r="G62" i="23"/>
  <c r="G61" i="23"/>
  <c r="G60" i="23"/>
  <c r="G59" i="23"/>
  <c r="G58" i="23"/>
  <c r="E63" i="23"/>
  <c r="E62" i="23"/>
  <c r="E61" i="23"/>
  <c r="E60" i="23"/>
  <c r="E59" i="23"/>
  <c r="E58" i="23"/>
  <c r="C63" i="23"/>
  <c r="C62" i="23"/>
  <c r="C61" i="23"/>
  <c r="C60" i="23"/>
  <c r="C59" i="23"/>
  <c r="C58" i="23"/>
  <c r="Q54" i="23"/>
  <c r="Q53" i="23"/>
  <c r="Q52" i="23"/>
  <c r="Q51" i="23"/>
  <c r="Q50" i="23"/>
  <c r="Q49" i="23"/>
  <c r="O54" i="23"/>
  <c r="O53" i="23"/>
  <c r="O52" i="23"/>
  <c r="O51" i="23"/>
  <c r="O50" i="23"/>
  <c r="O49" i="23"/>
  <c r="M54" i="23"/>
  <c r="M53" i="23"/>
  <c r="M52" i="23"/>
  <c r="M51" i="23"/>
  <c r="M50" i="23"/>
  <c r="M49" i="23"/>
  <c r="K54" i="23"/>
  <c r="K53" i="23"/>
  <c r="K52" i="23"/>
  <c r="K51" i="23"/>
  <c r="K50" i="23"/>
  <c r="K49" i="23"/>
  <c r="I54" i="23"/>
  <c r="I53" i="23"/>
  <c r="I52" i="23"/>
  <c r="I51" i="23"/>
  <c r="I50" i="23"/>
  <c r="I49" i="23"/>
  <c r="G49" i="23"/>
  <c r="G50" i="23"/>
  <c r="G51" i="23"/>
  <c r="G52" i="23"/>
  <c r="G53" i="23"/>
  <c r="G54" i="23"/>
  <c r="E49" i="23"/>
  <c r="E50" i="23"/>
  <c r="E51" i="23"/>
  <c r="E52" i="23"/>
  <c r="E53" i="23"/>
  <c r="E54" i="23"/>
  <c r="C49" i="23"/>
  <c r="C50" i="23"/>
  <c r="C51" i="23"/>
  <c r="C52" i="23"/>
  <c r="C53" i="23"/>
  <c r="C54" i="23"/>
  <c r="G44" i="23"/>
  <c r="G43" i="23"/>
  <c r="G42" i="23"/>
  <c r="G41" i="23"/>
  <c r="G40" i="23"/>
  <c r="G39" i="23"/>
  <c r="F44" i="23"/>
  <c r="F43" i="23"/>
  <c r="F42" i="23"/>
  <c r="F41" i="23"/>
  <c r="F40" i="23"/>
  <c r="F39" i="23"/>
  <c r="D44" i="23"/>
  <c r="D43" i="23"/>
  <c r="D42" i="23"/>
  <c r="D41" i="23"/>
  <c r="D40" i="23"/>
  <c r="D39" i="23"/>
  <c r="C44" i="23"/>
  <c r="C43" i="23"/>
  <c r="C42" i="23"/>
  <c r="C41" i="23"/>
  <c r="C40" i="23"/>
  <c r="C39" i="23"/>
  <c r="E35" i="23"/>
  <c r="E34" i="23"/>
  <c r="E33" i="23"/>
  <c r="E32" i="23"/>
  <c r="E31" i="23"/>
  <c r="E30" i="23"/>
  <c r="C35" i="23"/>
  <c r="C34" i="23"/>
  <c r="C33" i="23"/>
  <c r="C32" i="23"/>
  <c r="C31" i="23"/>
  <c r="C30" i="23"/>
  <c r="E26" i="23"/>
  <c r="E25" i="23"/>
  <c r="E24" i="23"/>
  <c r="E23" i="23"/>
  <c r="E22" i="23"/>
  <c r="E21" i="23"/>
  <c r="E20" i="23"/>
  <c r="C26" i="23"/>
  <c r="C25" i="23"/>
  <c r="C24" i="23"/>
  <c r="C23" i="23"/>
  <c r="C22" i="23"/>
  <c r="C21" i="23"/>
  <c r="C20" i="23"/>
  <c r="D16" i="23"/>
  <c r="D15" i="23"/>
  <c r="C15" i="23"/>
  <c r="N1" i="23"/>
  <c r="M1" i="23"/>
  <c r="L1" i="23"/>
  <c r="E15" i="23" l="1"/>
  <c r="F15" i="23" s="1"/>
  <c r="H25" i="23" s="1"/>
  <c r="J15" i="23"/>
  <c r="M15" i="23" s="1"/>
  <c r="E16" i="23"/>
  <c r="F16" i="23" s="1"/>
  <c r="J26" i="23" s="1"/>
  <c r="J16" i="23"/>
  <c r="P40" i="23"/>
  <c r="N39" i="23"/>
  <c r="J20" i="23"/>
  <c r="J24" i="23"/>
  <c r="N44" i="23"/>
  <c r="P42" i="23"/>
  <c r="J30" i="23"/>
  <c r="J34" i="23"/>
  <c r="J41" i="23"/>
  <c r="P39" i="23"/>
  <c r="P43" i="23"/>
  <c r="C8" i="23"/>
  <c r="J7" i="23" s="1"/>
  <c r="D3" i="23"/>
  <c r="K2" i="23" s="1"/>
  <c r="D6" i="23"/>
  <c r="K5" i="23" s="1"/>
  <c r="C6" i="23"/>
  <c r="J5" i="23" s="1"/>
  <c r="J32" i="23" l="1"/>
  <c r="N42" i="23"/>
  <c r="N41" i="23"/>
  <c r="J25" i="23"/>
  <c r="N40" i="23"/>
  <c r="P41" i="23"/>
  <c r="J23" i="23"/>
  <c r="J35" i="23"/>
  <c r="J21" i="23"/>
  <c r="J33" i="23"/>
  <c r="N43" i="23"/>
  <c r="P44" i="23"/>
  <c r="J22" i="23"/>
  <c r="H20" i="23"/>
  <c r="H26" i="23"/>
  <c r="L42" i="23"/>
  <c r="L39" i="23"/>
  <c r="L44" i="23"/>
  <c r="H32" i="23"/>
  <c r="J39" i="23"/>
  <c r="L41" i="23"/>
  <c r="H34" i="23"/>
  <c r="H22" i="23"/>
  <c r="J42" i="23"/>
  <c r="L40" i="23"/>
  <c r="H21" i="23"/>
  <c r="L43" i="23"/>
  <c r="H24" i="23"/>
  <c r="J43" i="23"/>
  <c r="H30" i="23"/>
  <c r="H33" i="23"/>
  <c r="H35" i="23"/>
  <c r="J31" i="23"/>
  <c r="J44" i="23"/>
  <c r="J40" i="23"/>
  <c r="H31" i="23"/>
  <c r="H23" i="23"/>
  <c r="D5" i="23"/>
  <c r="K4" i="23" s="1"/>
  <c r="C3" i="23"/>
  <c r="J2" i="23" s="1"/>
  <c r="D4" i="23"/>
  <c r="K3" i="23" s="1"/>
  <c r="C4" i="23"/>
  <c r="J3" i="23" s="1"/>
  <c r="D8" i="23"/>
  <c r="K7" i="23" s="1"/>
  <c r="C7" i="23" l="1"/>
  <c r="J6" i="23" s="1"/>
  <c r="C5" i="23"/>
  <c r="J4" i="23" s="1"/>
  <c r="D7" i="23"/>
  <c r="K6" i="23" s="1"/>
  <c r="R57" i="1" l="1"/>
  <c r="R50" i="1"/>
  <c r="R49" i="1"/>
  <c r="R61" i="1"/>
  <c r="R60" i="1"/>
  <c r="U59" i="1"/>
  <c r="I50" i="1"/>
  <c r="N50" i="1" s="1"/>
  <c r="R59" i="1" s="1"/>
  <c r="AD52" i="1" l="1"/>
  <c r="AC48" i="1"/>
  <c r="AC49" i="1"/>
  <c r="AB49" i="1"/>
  <c r="AE49" i="1" s="1"/>
  <c r="AB48" i="1"/>
  <c r="N15" i="20" l="1"/>
  <c r="N14" i="20"/>
  <c r="N13" i="20"/>
  <c r="N12" i="20"/>
  <c r="N11" i="20"/>
  <c r="N10" i="20"/>
  <c r="E51" i="1"/>
  <c r="D26" i="22" l="1"/>
  <c r="I31" i="22"/>
  <c r="A26" i="22"/>
  <c r="H39" i="22"/>
  <c r="R27" i="22"/>
  <c r="Q27" i="22"/>
  <c r="P27" i="22"/>
  <c r="L27" i="22"/>
  <c r="K27" i="22"/>
  <c r="J27" i="22"/>
  <c r="Q26" i="22"/>
  <c r="P26" i="22"/>
  <c r="F19" i="22" s="1"/>
  <c r="K26" i="22"/>
  <c r="J26" i="22"/>
  <c r="B22" i="22"/>
  <c r="A22" i="22"/>
  <c r="R21" i="22"/>
  <c r="L21" i="22"/>
  <c r="B21" i="22"/>
  <c r="A21" i="22"/>
  <c r="R20" i="22"/>
  <c r="Q20" i="22"/>
  <c r="L20" i="22"/>
  <c r="K20" i="22"/>
  <c r="B20" i="22"/>
  <c r="A20" i="22"/>
  <c r="Q19" i="22"/>
  <c r="P19" i="22"/>
  <c r="K19" i="22"/>
  <c r="J19" i="22"/>
  <c r="L13" i="22"/>
  <c r="K13" i="22"/>
  <c r="J13" i="22"/>
  <c r="G13" i="22"/>
  <c r="F13" i="22"/>
  <c r="E13" i="22"/>
  <c r="K12" i="22"/>
  <c r="J12" i="22"/>
  <c r="F12" i="22"/>
  <c r="E12" i="22"/>
  <c r="L7" i="22"/>
  <c r="G7" i="22"/>
  <c r="L6" i="22"/>
  <c r="K6" i="22"/>
  <c r="G6" i="22"/>
  <c r="F6" i="22"/>
  <c r="K5" i="22"/>
  <c r="J5" i="22"/>
  <c r="F5" i="22"/>
  <c r="E5" i="22"/>
  <c r="D26" i="21"/>
  <c r="I31" i="21"/>
  <c r="A26" i="21"/>
  <c r="H39" i="21"/>
  <c r="R27" i="21"/>
  <c r="Q27" i="21"/>
  <c r="P27" i="21"/>
  <c r="L27" i="21"/>
  <c r="K27" i="21"/>
  <c r="J27" i="21"/>
  <c r="Q26" i="21"/>
  <c r="P26" i="21"/>
  <c r="K26" i="21"/>
  <c r="J26" i="21"/>
  <c r="B22" i="21"/>
  <c r="A22" i="21"/>
  <c r="R21" i="21"/>
  <c r="L21" i="21"/>
  <c r="B21" i="21"/>
  <c r="A21" i="21"/>
  <c r="R20" i="21"/>
  <c r="Q20" i="21"/>
  <c r="L20" i="21"/>
  <c r="K20" i="21"/>
  <c r="B20" i="21"/>
  <c r="A20" i="21"/>
  <c r="Q19" i="21"/>
  <c r="P19" i="21"/>
  <c r="K19" i="21"/>
  <c r="J19" i="21"/>
  <c r="L13" i="21"/>
  <c r="K13" i="21"/>
  <c r="J13" i="21"/>
  <c r="G13" i="21"/>
  <c r="F13" i="21"/>
  <c r="E13" i="21"/>
  <c r="K12" i="21"/>
  <c r="J12" i="21"/>
  <c r="F12" i="21"/>
  <c r="E12" i="21"/>
  <c r="L7" i="21"/>
  <c r="G7" i="21"/>
  <c r="L6" i="21"/>
  <c r="K6" i="21"/>
  <c r="G6" i="21"/>
  <c r="F6" i="21"/>
  <c r="K5" i="21"/>
  <c r="J5" i="21"/>
  <c r="F5" i="21"/>
  <c r="E5" i="21"/>
  <c r="F19" i="21" l="1"/>
  <c r="F22" i="21"/>
  <c r="F21" i="21"/>
  <c r="E22" i="21"/>
  <c r="E18" i="22"/>
  <c r="F18" i="22"/>
  <c r="E22" i="22"/>
  <c r="F23" i="22"/>
  <c r="E18" i="21"/>
  <c r="F18" i="21"/>
  <c r="F22" i="22"/>
  <c r="F23" i="21"/>
  <c r="E19" i="22"/>
  <c r="E19" i="21"/>
  <c r="E23" i="22"/>
  <c r="E23" i="21"/>
  <c r="E20" i="22"/>
  <c r="E21" i="22"/>
  <c r="F20" i="22"/>
  <c r="F21" i="22"/>
  <c r="E20" i="21"/>
  <c r="E21" i="21"/>
  <c r="F20" i="21"/>
  <c r="B2" i="19" l="1"/>
  <c r="B3" i="19"/>
  <c r="B4" i="19"/>
  <c r="B5" i="19"/>
  <c r="H282" i="16"/>
  <c r="H248" i="16"/>
  <c r="B144" i="16"/>
  <c r="B148" i="16"/>
  <c r="B39" i="16"/>
  <c r="B42" i="16"/>
  <c r="B20" i="16"/>
  <c r="B28" i="20" l="1"/>
  <c r="B28" i="19"/>
  <c r="D36" i="20"/>
  <c r="C36" i="20"/>
  <c r="D35" i="20"/>
  <c r="C35" i="20"/>
  <c r="D34" i="20"/>
  <c r="C34" i="20"/>
  <c r="D33" i="20"/>
  <c r="C33" i="20"/>
  <c r="D32" i="20"/>
  <c r="C32" i="20"/>
  <c r="D31" i="20"/>
  <c r="C31" i="20"/>
  <c r="B30" i="20"/>
  <c r="D22" i="20"/>
  <c r="H15" i="20" s="1"/>
  <c r="B20" i="20"/>
  <c r="B15" i="20"/>
  <c r="B14" i="20"/>
  <c r="B13" i="20"/>
  <c r="B12" i="20"/>
  <c r="B11" i="20"/>
  <c r="F7" i="20"/>
  <c r="B10" i="20" s="1"/>
  <c r="H14" i="20" l="1"/>
  <c r="H13" i="20" l="1"/>
  <c r="H12" i="20" l="1"/>
  <c r="CG288" i="16"/>
  <c r="BU282" i="16"/>
  <c r="BU283" i="16"/>
  <c r="BU284" i="16"/>
  <c r="BU285" i="16"/>
  <c r="BU286" i="16"/>
  <c r="BU287" i="16"/>
  <c r="BU288" i="16"/>
  <c r="CA288" i="16"/>
  <c r="BU281" i="16"/>
  <c r="CG254" i="16"/>
  <c r="Q42" i="16"/>
  <c r="Q16" i="16"/>
  <c r="H11" i="20" l="1"/>
  <c r="AG43" i="1"/>
  <c r="AG41" i="1"/>
  <c r="AF38" i="1"/>
  <c r="AG38" i="1" s="1"/>
  <c r="AE35" i="1"/>
  <c r="AG35" i="1" s="1"/>
  <c r="G297" i="16"/>
  <c r="AL274" i="16"/>
  <c r="CB240" i="16"/>
  <c r="AL240" i="16"/>
  <c r="AG44" i="1" l="1"/>
  <c r="H10" i="20"/>
  <c r="Q10" i="16"/>
  <c r="Q8" i="16"/>
  <c r="Q5" i="16"/>
  <c r="X41" i="16"/>
  <c r="X40" i="16"/>
  <c r="X39" i="16"/>
  <c r="X38" i="16"/>
  <c r="X37" i="16"/>
  <c r="X36" i="16"/>
  <c r="X35" i="16"/>
  <c r="X34" i="16"/>
  <c r="X33" i="16"/>
  <c r="X32" i="16"/>
  <c r="X31" i="16"/>
  <c r="X30" i="16"/>
  <c r="X29" i="16"/>
  <c r="X28" i="16"/>
  <c r="X27" i="16"/>
  <c r="X26" i="16"/>
  <c r="X25" i="16"/>
  <c r="X24" i="16"/>
  <c r="X19" i="16"/>
  <c r="X16" i="16"/>
  <c r="X12" i="16"/>
  <c r="X9" i="16"/>
  <c r="X8" i="16"/>
  <c r="X7" i="16"/>
  <c r="X6" i="16"/>
  <c r="X5" i="16"/>
  <c r="B110" i="16"/>
  <c r="B194" i="16"/>
  <c r="B190" i="16"/>
  <c r="B179" i="16"/>
  <c r="B167" i="16"/>
  <c r="B157" i="16"/>
  <c r="C157" i="16" s="1"/>
  <c r="L148" i="16"/>
  <c r="Q148" i="16" s="1"/>
  <c r="B74" i="16"/>
  <c r="C51" i="16"/>
  <c r="L20" i="16"/>
  <c r="Q20" i="16" s="1"/>
  <c r="CG343" i="16"/>
  <c r="CG337" i="16"/>
  <c r="CG338" i="16"/>
  <c r="CG339" i="16"/>
  <c r="CG340" i="16"/>
  <c r="CG341" i="16"/>
  <c r="CG342" i="16"/>
  <c r="BC338" i="16"/>
  <c r="CA338" i="16" s="1"/>
  <c r="BC339" i="16"/>
  <c r="CA339" i="16" s="1"/>
  <c r="BC340" i="16"/>
  <c r="CA340" i="16" s="1"/>
  <c r="BC341" i="16"/>
  <c r="CA341" i="16" s="1"/>
  <c r="BC342" i="16"/>
  <c r="CA342" i="16" s="1"/>
  <c r="BD342" i="16"/>
  <c r="CB342" i="16" s="1"/>
  <c r="BC337" i="16"/>
  <c r="CA337" i="16" s="1"/>
  <c r="AL342" i="16"/>
  <c r="BJ342" i="16" s="1"/>
  <c r="CH342" i="16" s="1"/>
  <c r="AF338" i="16"/>
  <c r="BD338" i="16" s="1"/>
  <c r="Z340" i="16"/>
  <c r="AX340" i="16" s="1"/>
  <c r="I338" i="16"/>
  <c r="H340" i="16"/>
  <c r="H337" i="16"/>
  <c r="B337" i="16"/>
  <c r="BI316" i="16"/>
  <c r="BI320" i="16"/>
  <c r="AX320" i="16"/>
  <c r="BV320" i="16" s="1"/>
  <c r="Z318" i="16"/>
  <c r="AX318" i="16" s="1"/>
  <c r="Z316" i="16"/>
  <c r="AX316" i="16" s="1"/>
  <c r="H318" i="16"/>
  <c r="AF318" i="16" s="1"/>
  <c r="H315" i="16"/>
  <c r="C316" i="16"/>
  <c r="B315" i="16"/>
  <c r="CG303" i="16"/>
  <c r="CG304" i="16"/>
  <c r="CG305" i="16"/>
  <c r="CG306" i="16"/>
  <c r="CG307" i="16"/>
  <c r="CG308" i="16"/>
  <c r="CA304" i="16"/>
  <c r="CA305" i="16"/>
  <c r="CA307" i="16"/>
  <c r="CA308" i="16"/>
  <c r="CB308" i="16"/>
  <c r="CA303" i="16"/>
  <c r="CB303" i="16"/>
  <c r="BI304" i="16"/>
  <c r="BI305" i="16"/>
  <c r="BI306" i="16"/>
  <c r="BI307" i="16"/>
  <c r="BI308" i="16"/>
  <c r="BI309" i="16"/>
  <c r="BI303" i="16"/>
  <c r="BD308" i="16"/>
  <c r="BC304" i="16"/>
  <c r="BC305" i="16"/>
  <c r="BC306" i="16"/>
  <c r="CA306" i="16" s="1"/>
  <c r="BC307" i="16"/>
  <c r="BC308" i="16"/>
  <c r="BC303" i="16"/>
  <c r="BD303" i="16"/>
  <c r="AL308" i="16"/>
  <c r="AF304" i="16"/>
  <c r="Z306" i="16"/>
  <c r="AX306" i="16" s="1"/>
  <c r="I304" i="16"/>
  <c r="H306" i="16"/>
  <c r="AF306" i="16" s="1"/>
  <c r="B303" i="16"/>
  <c r="BI281" i="16"/>
  <c r="CG281" i="16" s="1"/>
  <c r="BI282" i="16"/>
  <c r="CG282" i="16" s="1"/>
  <c r="BI283" i="16"/>
  <c r="CG283" i="16" s="1"/>
  <c r="BI284" i="16"/>
  <c r="CG284" i="16" s="1"/>
  <c r="BI285" i="16"/>
  <c r="CG285" i="16" s="1"/>
  <c r="BI286" i="16"/>
  <c r="CG286" i="16" s="1"/>
  <c r="BI287" i="16"/>
  <c r="CG287" i="16" s="1"/>
  <c r="BC282" i="16"/>
  <c r="CA282" i="16" s="1"/>
  <c r="BC283" i="16"/>
  <c r="CA283" i="16" s="1"/>
  <c r="BC284" i="16"/>
  <c r="CA284" i="16" s="1"/>
  <c r="BC285" i="16"/>
  <c r="CA285" i="16" s="1"/>
  <c r="BC286" i="16"/>
  <c r="CA286" i="16" s="1"/>
  <c r="BD286" i="16"/>
  <c r="CB286" i="16" s="1"/>
  <c r="BC287" i="16"/>
  <c r="CA287" i="16" s="1"/>
  <c r="BC281" i="16"/>
  <c r="CA281" i="16" s="1"/>
  <c r="AL286" i="16"/>
  <c r="AF281" i="16"/>
  <c r="H281" i="16" s="1"/>
  <c r="Z285" i="16"/>
  <c r="Z282" i="16"/>
  <c r="B282" i="16" s="1"/>
  <c r="BI247" i="16"/>
  <c r="CG247" i="16" s="1"/>
  <c r="BO247" i="16"/>
  <c r="BI248" i="16"/>
  <c r="CG248" i="16" s="1"/>
  <c r="BI249" i="16"/>
  <c r="CG249" i="16" s="1"/>
  <c r="BI250" i="16"/>
  <c r="CG250" i="16" s="1"/>
  <c r="BI251" i="16"/>
  <c r="CG251" i="16" s="1"/>
  <c r="BI252" i="16"/>
  <c r="CG252" i="16" s="1"/>
  <c r="BI253" i="16"/>
  <c r="CG253" i="16" s="1"/>
  <c r="BJ253" i="16"/>
  <c r="BC248" i="16"/>
  <c r="CA248" i="16" s="1"/>
  <c r="BC249" i="16"/>
  <c r="CA249" i="16" s="1"/>
  <c r="BC250" i="16"/>
  <c r="CA250" i="16" s="1"/>
  <c r="BC251" i="16"/>
  <c r="CA251" i="16" s="1"/>
  <c r="BC252" i="16"/>
  <c r="CA252" i="16" s="1"/>
  <c r="BD252" i="16"/>
  <c r="CB252" i="16" s="1"/>
  <c r="BC253" i="16"/>
  <c r="CA253" i="16" s="1"/>
  <c r="BC254" i="16"/>
  <c r="CA254" i="16" s="1"/>
  <c r="BC247" i="16"/>
  <c r="CA247" i="16" s="1"/>
  <c r="AL252" i="16"/>
  <c r="AF247" i="16"/>
  <c r="H247" i="16" s="1"/>
  <c r="Z251" i="16"/>
  <c r="Z248" i="16"/>
  <c r="B248" i="16" s="1"/>
  <c r="AF285" i="16" l="1"/>
  <c r="BD285" i="16" s="1"/>
  <c r="CB285" i="16" s="1"/>
  <c r="B285" i="16"/>
  <c r="H285" i="16" s="1"/>
  <c r="Z315" i="16"/>
  <c r="AX315" i="16" s="1"/>
  <c r="BV315" i="16" s="1"/>
  <c r="BD306" i="16"/>
  <c r="CB306" i="16" s="1"/>
  <c r="BV306" i="16"/>
  <c r="BD304" i="16"/>
  <c r="BJ308" i="16"/>
  <c r="BD318" i="16"/>
  <c r="CB318" i="16" s="1"/>
  <c r="BV318" i="16"/>
  <c r="AX248" i="16"/>
  <c r="BV248" i="16" s="1"/>
  <c r="CH308" i="16"/>
  <c r="BJ286" i="16"/>
  <c r="CH286" i="16" s="1"/>
  <c r="AL320" i="16"/>
  <c r="BJ320" i="16" s="1"/>
  <c r="CH320" i="16" s="1"/>
  <c r="AF315" i="16"/>
  <c r="BD247" i="16"/>
  <c r="CB247" i="16" s="1"/>
  <c r="BV340" i="16"/>
  <c r="BD340" i="16"/>
  <c r="CB340" i="16" s="1"/>
  <c r="Z337" i="16"/>
  <c r="AF340" i="16"/>
  <c r="AF337" i="16"/>
  <c r="AF251" i="16"/>
  <c r="BJ252" i="16"/>
  <c r="CH252" i="16" s="1"/>
  <c r="AX285" i="16"/>
  <c r="BV285" i="16" s="1"/>
  <c r="AX282" i="16"/>
  <c r="BV282" i="16" s="1"/>
  <c r="AX251" i="16"/>
  <c r="BV251" i="16" s="1"/>
  <c r="BD281" i="16"/>
  <c r="CB281" i="16" s="1"/>
  <c r="Z303" i="16"/>
  <c r="BV303" i="16" s="1"/>
  <c r="BZ236" i="16"/>
  <c r="BZ237" i="16"/>
  <c r="BZ239" i="16"/>
  <c r="CA241" i="16"/>
  <c r="BI236" i="16"/>
  <c r="CG236" i="16" s="1"/>
  <c r="BI237" i="16"/>
  <c r="CG237" i="16" s="1"/>
  <c r="BI238" i="16"/>
  <c r="CG238" i="16" s="1"/>
  <c r="BI239" i="16"/>
  <c r="CG239" i="16" s="1"/>
  <c r="BI240" i="16"/>
  <c r="CG240" i="16" s="1"/>
  <c r="BI235" i="16"/>
  <c r="CG235" i="16" s="1"/>
  <c r="BD240" i="16"/>
  <c r="AE239" i="16"/>
  <c r="BC239" i="16" s="1"/>
  <c r="CA239" i="16" s="1"/>
  <c r="AE240" i="16"/>
  <c r="BC240" i="16" s="1"/>
  <c r="CA240" i="16" s="1"/>
  <c r="AE235" i="16"/>
  <c r="BC235" i="16" s="1"/>
  <c r="CA235" i="16" s="1"/>
  <c r="AE236" i="16"/>
  <c r="BC236" i="16" s="1"/>
  <c r="CA236" i="16" s="1"/>
  <c r="AE237" i="16"/>
  <c r="BC237" i="16" s="1"/>
  <c r="CA237" i="16" s="1"/>
  <c r="AE238" i="16"/>
  <c r="BC238" i="16" s="1"/>
  <c r="CA238" i="16" s="1"/>
  <c r="N239" i="16"/>
  <c r="H236" i="16"/>
  <c r="H235" i="16"/>
  <c r="B235" i="16"/>
  <c r="B238" i="16"/>
  <c r="Z238" i="16" s="1"/>
  <c r="AX238" i="16" s="1"/>
  <c r="CG213" i="16"/>
  <c r="CA214" i="16"/>
  <c r="CG214" i="16"/>
  <c r="BZ215" i="16"/>
  <c r="CA215" i="16"/>
  <c r="CG215" i="16"/>
  <c r="CA216" i="16"/>
  <c r="CG216" i="16"/>
  <c r="BZ217" i="16"/>
  <c r="CA217" i="16"/>
  <c r="CG217" i="16"/>
  <c r="CA218" i="16"/>
  <c r="CG218" i="16"/>
  <c r="CA219" i="16"/>
  <c r="CG219" i="16"/>
  <c r="CA213" i="16"/>
  <c r="AX218" i="16"/>
  <c r="BV218" i="16" s="1"/>
  <c r="AL218" i="16"/>
  <c r="AF218" i="16"/>
  <c r="BD218" i="16" s="1"/>
  <c r="CB218" i="16" s="1"/>
  <c r="AF216" i="16"/>
  <c r="BD216" i="16" s="1"/>
  <c r="CB216" i="16" s="1"/>
  <c r="Z214" i="16"/>
  <c r="BD251" i="16" l="1"/>
  <c r="CB251" i="16" s="1"/>
  <c r="H251" i="16"/>
  <c r="B251" i="16" s="1"/>
  <c r="AX214" i="16"/>
  <c r="BV214" i="16" s="1"/>
  <c r="AL239" i="16"/>
  <c r="BJ239" i="16" s="1"/>
  <c r="CH239" i="16" s="1"/>
  <c r="AX337" i="16"/>
  <c r="BV337" i="16" s="1"/>
  <c r="BD315" i="16"/>
  <c r="CB315" i="16" s="1"/>
  <c r="BJ218" i="16"/>
  <c r="CH218" i="16" s="1"/>
  <c r="AF235" i="16"/>
  <c r="BD337" i="16"/>
  <c r="CB337" i="16" s="1"/>
  <c r="BV238" i="16"/>
  <c r="BD238" i="16"/>
  <c r="CB238" i="16" s="1"/>
  <c r="Z235" i="16"/>
  <c r="AX303" i="16"/>
  <c r="Z216" i="16"/>
  <c r="AX216" i="16" s="1"/>
  <c r="BD274" i="16"/>
  <c r="CB274" i="16" s="1"/>
  <c r="AL206" i="16"/>
  <c r="BJ240" i="16" s="1"/>
  <c r="CH240" i="16" s="1"/>
  <c r="AX206" i="16"/>
  <c r="BV206" i="16" s="1"/>
  <c r="AF206" i="16"/>
  <c r="BD206" i="16" s="1"/>
  <c r="CB206" i="16" s="1"/>
  <c r="C214" i="16"/>
  <c r="H213" i="16"/>
  <c r="B213" i="16"/>
  <c r="H201" i="16"/>
  <c r="AF202" i="16"/>
  <c r="BD202" i="16" s="1"/>
  <c r="AF201" i="16"/>
  <c r="Z204" i="16"/>
  <c r="AX204" i="16" s="1"/>
  <c r="BV204" i="16" s="1"/>
  <c r="I202" i="16"/>
  <c r="I236" i="16" s="1"/>
  <c r="H204" i="16"/>
  <c r="B201" i="16"/>
  <c r="BI274" i="16"/>
  <c r="CG274" i="16" s="1"/>
  <c r="BI273" i="16"/>
  <c r="CG273" i="16" s="1"/>
  <c r="BI272" i="16"/>
  <c r="CG272" i="16" s="1"/>
  <c r="BI271" i="16"/>
  <c r="CG271" i="16" s="1"/>
  <c r="BI270" i="16"/>
  <c r="CG270" i="16" s="1"/>
  <c r="BI269" i="16"/>
  <c r="CG269" i="16" s="1"/>
  <c r="BC270" i="16"/>
  <c r="CA270" i="16" s="1"/>
  <c r="BC271" i="16"/>
  <c r="CA271" i="16" s="1"/>
  <c r="BC272" i="16"/>
  <c r="CA272" i="16" s="1"/>
  <c r="BC273" i="16"/>
  <c r="CA273" i="16" s="1"/>
  <c r="BC274" i="16"/>
  <c r="CA274" i="16" s="1"/>
  <c r="BC269" i="16"/>
  <c r="CA269" i="16" s="1"/>
  <c r="AF269" i="16"/>
  <c r="Z272" i="16"/>
  <c r="AX272" i="16" s="1"/>
  <c r="BV272" i="16" s="1"/>
  <c r="Z274" i="16"/>
  <c r="AX274" i="16" s="1"/>
  <c r="BV274" i="16" s="1"/>
  <c r="BJ274" i="16"/>
  <c r="CH274" i="16" s="1"/>
  <c r="N273" i="16"/>
  <c r="AL273" i="16" s="1"/>
  <c r="BJ273" i="16" s="1"/>
  <c r="CH273" i="16" s="1"/>
  <c r="H272" i="16"/>
  <c r="AF272" i="16" s="1"/>
  <c r="I270" i="16"/>
  <c r="B269" i="16"/>
  <c r="Z269" i="16" s="1"/>
  <c r="AX269" i="16" s="1"/>
  <c r="BV269" i="16" s="1"/>
  <c r="D32" i="19"/>
  <c r="D33" i="19"/>
  <c r="D34" i="19"/>
  <c r="D35" i="19"/>
  <c r="D36" i="19"/>
  <c r="D31" i="19"/>
  <c r="C32" i="19"/>
  <c r="C33" i="19"/>
  <c r="C34" i="19"/>
  <c r="C35" i="19"/>
  <c r="C36" i="19"/>
  <c r="C31" i="19"/>
  <c r="B30" i="19"/>
  <c r="B11" i="19"/>
  <c r="B12" i="19"/>
  <c r="B13" i="19"/>
  <c r="B14" i="19"/>
  <c r="B15" i="19"/>
  <c r="D22" i="19"/>
  <c r="B20" i="19"/>
  <c r="N15" i="19"/>
  <c r="H15" i="19"/>
  <c r="H14" i="19" s="1"/>
  <c r="H13" i="19" s="1"/>
  <c r="H12" i="19" s="1"/>
  <c r="H11" i="19" s="1"/>
  <c r="H10" i="19" s="1"/>
  <c r="N14" i="19"/>
  <c r="N13" i="19"/>
  <c r="N12" i="19"/>
  <c r="N11" i="19"/>
  <c r="N10" i="19"/>
  <c r="F7" i="19"/>
  <c r="B10" i="19" s="1"/>
  <c r="AL207" i="16" l="1"/>
  <c r="I248" i="16"/>
  <c r="I282" i="16"/>
  <c r="BJ206" i="16"/>
  <c r="CH206" i="16" s="1"/>
  <c r="BD235" i="16"/>
  <c r="CB235" i="16" s="1"/>
  <c r="AX235" i="16"/>
  <c r="BV235" i="16" s="1"/>
  <c r="AF236" i="16"/>
  <c r="BD236" i="16" s="1"/>
  <c r="CB236" i="16" s="1"/>
  <c r="AF213" i="16"/>
  <c r="AF204" i="16"/>
  <c r="BD204" i="16" s="1"/>
  <c r="CB204" i="16" s="1"/>
  <c r="H238" i="16"/>
  <c r="AF238" i="16" s="1"/>
  <c r="Z213" i="16"/>
  <c r="BV216" i="16"/>
  <c r="BJ207" i="16"/>
  <c r="CH207" i="16" s="1"/>
  <c r="BD201" i="16"/>
  <c r="CB201" i="16" s="1"/>
  <c r="Z201" i="16"/>
  <c r="BD269" i="16"/>
  <c r="CB269" i="16" s="1"/>
  <c r="BD272" i="16"/>
  <c r="CB272" i="16" s="1"/>
  <c r="D7" i="18"/>
  <c r="D6" i="18"/>
  <c r="D5" i="18"/>
  <c r="D4" i="18"/>
  <c r="D3" i="18"/>
  <c r="D2" i="18"/>
  <c r="E67" i="1"/>
  <c r="E65" i="1"/>
  <c r="U50" i="1"/>
  <c r="U51" i="1"/>
  <c r="U52" i="1"/>
  <c r="U53" i="1"/>
  <c r="U54" i="1"/>
  <c r="U55" i="1"/>
  <c r="U56" i="1"/>
  <c r="U57" i="1"/>
  <c r="U58" i="1"/>
  <c r="U60" i="1"/>
  <c r="U49" i="1"/>
  <c r="O60" i="1"/>
  <c r="S60" i="1" s="1"/>
  <c r="O61" i="1"/>
  <c r="S61" i="1" s="1"/>
  <c r="J58" i="1"/>
  <c r="J59" i="1" s="1"/>
  <c r="O59" i="1" s="1"/>
  <c r="S58" i="1" s="1"/>
  <c r="J56" i="1"/>
  <c r="J54" i="1"/>
  <c r="J55" i="1" s="1"/>
  <c r="O55" i="1" s="1"/>
  <c r="S54" i="1" s="1"/>
  <c r="J53" i="1"/>
  <c r="O53" i="1" s="1"/>
  <c r="S52" i="1" s="1"/>
  <c r="J52" i="1"/>
  <c r="J51" i="1"/>
  <c r="O51" i="1" s="1"/>
  <c r="S50" i="1" s="1"/>
  <c r="E50" i="1"/>
  <c r="E49" i="1"/>
  <c r="J49" i="1" s="1"/>
  <c r="AX213" i="16" l="1"/>
  <c r="BV213" i="16" s="1"/>
  <c r="BD213" i="16"/>
  <c r="CB213" i="16" s="1"/>
  <c r="AX201" i="16"/>
  <c r="BV201" i="16" s="1"/>
  <c r="O49" i="1"/>
  <c r="S49" i="1" s="1"/>
  <c r="O58" i="1"/>
  <c r="S57" i="1" s="1"/>
  <c r="O54" i="1"/>
  <c r="S53" i="1" s="1"/>
  <c r="O50" i="1"/>
  <c r="S59" i="1" s="1"/>
  <c r="J57" i="1"/>
  <c r="O57" i="1" s="1"/>
  <c r="S56" i="1" s="1"/>
  <c r="O56" i="1"/>
  <c r="S55" i="1" s="1"/>
  <c r="O52" i="1"/>
  <c r="S51" i="1" s="1"/>
  <c r="L47" i="1" l="1"/>
  <c r="P47" i="1" s="1"/>
  <c r="I47" i="1"/>
  <c r="N47" i="1" s="1"/>
  <c r="V40" i="1"/>
  <c r="V41" i="1"/>
  <c r="U40" i="1"/>
  <c r="U41" i="1"/>
  <c r="V39" i="1"/>
  <c r="U39" i="1"/>
  <c r="X40" i="1" l="1"/>
  <c r="E41" i="1" s="1"/>
  <c r="X41" i="1"/>
  <c r="E43" i="1" s="1"/>
  <c r="X39" i="1"/>
  <c r="E42" i="1" s="1"/>
  <c r="H42" i="1" l="1"/>
  <c r="K42" i="1" s="1"/>
  <c r="N42" i="1"/>
  <c r="P60" i="1" s="1"/>
  <c r="N41" i="1"/>
  <c r="T61" i="1" s="1"/>
  <c r="H41" i="1"/>
  <c r="K41" i="1" s="1"/>
  <c r="H43" i="1"/>
  <c r="K43" i="1" s="1"/>
  <c r="N43" i="1"/>
  <c r="L60" i="1" s="1"/>
  <c r="L61" i="1" s="1"/>
  <c r="B29" i="17"/>
  <c r="D28" i="17"/>
  <c r="B27" i="17"/>
  <c r="B28" i="17" s="1"/>
  <c r="E26" i="17"/>
  <c r="D27" i="17" s="1"/>
  <c r="B26" i="17"/>
  <c r="B25" i="17"/>
  <c r="C24" i="17"/>
  <c r="D24" i="17"/>
  <c r="B23" i="17"/>
  <c r="B24" i="17" s="1"/>
  <c r="D23" i="17"/>
  <c r="E20" i="17"/>
  <c r="D21" i="17" s="1"/>
  <c r="C20" i="17"/>
  <c r="E24" i="17" s="1"/>
  <c r="B20" i="17"/>
  <c r="D20" i="17"/>
  <c r="B19" i="17"/>
  <c r="D17" i="17"/>
  <c r="D16" i="17"/>
  <c r="D15" i="17"/>
  <c r="B15" i="17"/>
  <c r="D13" i="17"/>
  <c r="D19" i="17" s="1"/>
  <c r="C13" i="17"/>
  <c r="B13" i="17"/>
  <c r="D12" i="17"/>
  <c r="D9" i="17"/>
  <c r="B9" i="17"/>
  <c r="E8" i="17"/>
  <c r="D8" i="17"/>
  <c r="B8" i="17"/>
  <c r="E7" i="17"/>
  <c r="D7" i="17"/>
  <c r="E28" i="17" l="1"/>
  <c r="D29" i="17" s="1"/>
  <c r="D25" i="17"/>
  <c r="P61" i="1"/>
  <c r="T60" i="1"/>
  <c r="V23" i="1"/>
  <c r="E39" i="1" s="1"/>
  <c r="V25" i="1"/>
  <c r="E40" i="1" s="1"/>
  <c r="H40" i="1" l="1"/>
  <c r="K40" i="1" s="1"/>
  <c r="N40" i="1"/>
  <c r="H39" i="1"/>
  <c r="K39" i="1" s="1"/>
  <c r="N39" i="1"/>
  <c r="G194" i="16"/>
  <c r="L194" i="16" s="1"/>
  <c r="Q194" i="16" s="1"/>
  <c r="B76" i="16"/>
  <c r="F68" i="1" l="1"/>
  <c r="T58" i="1"/>
  <c r="G59" i="1"/>
  <c r="G58" i="1"/>
  <c r="L58" i="1"/>
  <c r="L59" i="1" s="1"/>
  <c r="G74" i="16" l="1"/>
  <c r="L365" i="16"/>
  <c r="Q365" i="16" s="1"/>
  <c r="B363" i="16"/>
  <c r="B361" i="16"/>
  <c r="L354" i="16"/>
  <c r="Q354" i="16" s="1"/>
  <c r="C350" i="16"/>
  <c r="C361" i="16" s="1"/>
  <c r="G352" i="16"/>
  <c r="G363" i="16" s="1"/>
  <c r="B349" i="16"/>
  <c r="B360" i="16" s="1"/>
  <c r="Q329" i="16"/>
  <c r="G329" i="16"/>
  <c r="L297" i="16"/>
  <c r="Q297" i="16" s="1"/>
  <c r="B326" i="16"/>
  <c r="G295" i="16"/>
  <c r="L295" i="16" s="1"/>
  <c r="B292" i="16"/>
  <c r="G263" i="16"/>
  <c r="L263" i="16" s="1"/>
  <c r="Q263" i="16" s="1"/>
  <c r="G261" i="16"/>
  <c r="L261" i="16" s="1"/>
  <c r="B258" i="16"/>
  <c r="B224" i="16"/>
  <c r="B227" i="16"/>
  <c r="G227" i="16" s="1"/>
  <c r="L227" i="16" s="1"/>
  <c r="Q227" i="16" s="1"/>
  <c r="L352" i="16" l="1"/>
  <c r="L363" i="16" s="1"/>
  <c r="G349" i="16"/>
  <c r="G326" i="16"/>
  <c r="G224" i="16"/>
  <c r="L74" i="16"/>
  <c r="Q74" i="16" s="1"/>
  <c r="Q295" i="16"/>
  <c r="G258" i="16"/>
  <c r="Q261" i="16"/>
  <c r="G292" i="16"/>
  <c r="Q352" i="16" l="1"/>
  <c r="Q363" i="16" s="1"/>
  <c r="L349" i="16"/>
  <c r="Q349" i="16" s="1"/>
  <c r="Q360" i="16" s="1"/>
  <c r="G360" i="16"/>
  <c r="L224" i="16"/>
  <c r="Q224" i="16" s="1"/>
  <c r="L326" i="16"/>
  <c r="Q326" i="16" s="1"/>
  <c r="L292" i="16"/>
  <c r="Q292" i="16" s="1"/>
  <c r="L258" i="16"/>
  <c r="Q258" i="16" s="1"/>
  <c r="L360" i="16" l="1"/>
  <c r="G193" i="16" l="1"/>
  <c r="L193" i="16" s="1"/>
  <c r="G183" i="16"/>
  <c r="L183" i="16" s="1"/>
  <c r="Q183" i="16" s="1"/>
  <c r="Q170" i="16"/>
  <c r="G172" i="16"/>
  <c r="G184" i="16" s="1"/>
  <c r="Q159" i="16"/>
  <c r="L161" i="16"/>
  <c r="Q161" i="16" s="1"/>
  <c r="Q172" i="16" s="1"/>
  <c r="Q184" i="16" s="1"/>
  <c r="B156" i="16"/>
  <c r="L144" i="16"/>
  <c r="Q144" i="16" s="1"/>
  <c r="G137" i="16"/>
  <c r="L135" i="16"/>
  <c r="G132" i="16"/>
  <c r="B135" i="16"/>
  <c r="B159" i="16" s="1"/>
  <c r="B170" i="16" s="1"/>
  <c r="G170" i="16" s="1"/>
  <c r="B133" i="16"/>
  <c r="B168" i="16" s="1"/>
  <c r="B180" i="16" s="1"/>
  <c r="D140" i="16"/>
  <c r="D128" i="16"/>
  <c r="L125" i="16"/>
  <c r="L137" i="16" s="1"/>
  <c r="Q123" i="16"/>
  <c r="Q135" i="16" s="1"/>
  <c r="G123" i="16"/>
  <c r="G135" i="16" s="1"/>
  <c r="G159" i="16" s="1"/>
  <c r="L120" i="16"/>
  <c r="Q120" i="16" s="1"/>
  <c r="Q132" i="16" s="1"/>
  <c r="C121" i="16"/>
  <c r="C133" i="16" s="1"/>
  <c r="D116" i="16"/>
  <c r="L111" i="16"/>
  <c r="G113" i="16"/>
  <c r="L113" i="16" s="1"/>
  <c r="Q113" i="16" s="1"/>
  <c r="G111" i="16"/>
  <c r="C109" i="16"/>
  <c r="G79" i="16"/>
  <c r="L79" i="16" s="1"/>
  <c r="Q79" i="16" s="1"/>
  <c r="B97" i="16"/>
  <c r="G85" i="16"/>
  <c r="L85" i="16" s="1"/>
  <c r="Q85" i="16" s="1"/>
  <c r="B89" i="16"/>
  <c r="G89" i="16" s="1"/>
  <c r="L89" i="16" s="1"/>
  <c r="Q89" i="16" s="1"/>
  <c r="G77" i="16"/>
  <c r="L77" i="16" s="1"/>
  <c r="B28" i="16"/>
  <c r="L62" i="16"/>
  <c r="Q62" i="16" s="1"/>
  <c r="G66" i="16"/>
  <c r="L66" i="16" s="1"/>
  <c r="Q66" i="16" s="1"/>
  <c r="Q53" i="16"/>
  <c r="G55" i="16"/>
  <c r="L55" i="16" s="1"/>
  <c r="Q55" i="16" s="1"/>
  <c r="G50" i="16"/>
  <c r="L50" i="16" s="1"/>
  <c r="Q50" i="16" s="1"/>
  <c r="B53" i="16"/>
  <c r="G53" i="16" s="1"/>
  <c r="L39" i="16"/>
  <c r="Q39" i="16" s="1"/>
  <c r="Q193" i="16" l="1"/>
  <c r="G179" i="16"/>
  <c r="G190" i="16"/>
  <c r="L172" i="16"/>
  <c r="L184" i="16" s="1"/>
  <c r="C168" i="16"/>
  <c r="C180" i="16" s="1"/>
  <c r="Q125" i="16"/>
  <c r="Q137" i="16" s="1"/>
  <c r="G156" i="16"/>
  <c r="G167" i="16"/>
  <c r="L167" i="16" s="1"/>
  <c r="Q167" i="16" s="1"/>
  <c r="G110" i="16"/>
  <c r="L132" i="16"/>
  <c r="Q111" i="16"/>
  <c r="B101" i="16"/>
  <c r="G101" i="16" s="1"/>
  <c r="L101" i="16" s="1"/>
  <c r="Q101" i="16" s="1"/>
  <c r="G97" i="16"/>
  <c r="L97" i="16" s="1"/>
  <c r="Q97" i="16" s="1"/>
  <c r="Q77" i="16"/>
  <c r="Q31" i="16"/>
  <c r="L33" i="16"/>
  <c r="Q33" i="16" s="1"/>
  <c r="G28" i="16"/>
  <c r="L28" i="16" s="1"/>
  <c r="Q28" i="16" s="1"/>
  <c r="C29" i="16"/>
  <c r="G16" i="16"/>
  <c r="G144" i="16" s="1"/>
  <c r="C6" i="16"/>
  <c r="M38" i="1"/>
  <c r="N38" i="1" s="1"/>
  <c r="J38" i="1"/>
  <c r="H38" i="1"/>
  <c r="D51" i="16" l="1"/>
  <c r="D316" i="16"/>
  <c r="J304" i="16"/>
  <c r="D157" i="16"/>
  <c r="J338" i="16"/>
  <c r="J202" i="16"/>
  <c r="J236" i="16" s="1"/>
  <c r="J270" i="16"/>
  <c r="D214" i="16"/>
  <c r="G51" i="1"/>
  <c r="L304" i="16"/>
  <c r="F157" i="16"/>
  <c r="L338" i="16"/>
  <c r="F51" i="16"/>
  <c r="F316" i="16"/>
  <c r="F214" i="16"/>
  <c r="L202" i="16"/>
  <c r="L236" i="16" s="1"/>
  <c r="F65" i="1"/>
  <c r="D350" i="16"/>
  <c r="D361" i="16" s="1"/>
  <c r="D121" i="16"/>
  <c r="D109" i="16"/>
  <c r="K38" i="1"/>
  <c r="D6" i="16"/>
  <c r="D29" i="16" s="1"/>
  <c r="F6" i="16"/>
  <c r="F29" i="16" s="1"/>
  <c r="F350" i="16"/>
  <c r="F361" i="16" s="1"/>
  <c r="F109" i="16"/>
  <c r="F121" i="16"/>
  <c r="L110" i="16"/>
  <c r="G76" i="16"/>
  <c r="L190" i="16"/>
  <c r="Q190" i="16" s="1"/>
  <c r="L179" i="16"/>
  <c r="Q179" i="16" s="1"/>
  <c r="L156" i="16"/>
  <c r="J282" i="16" l="1"/>
  <c r="J248" i="16"/>
  <c r="E316" i="16"/>
  <c r="K304" i="16"/>
  <c r="E157" i="16"/>
  <c r="E51" i="16"/>
  <c r="K338" i="16"/>
  <c r="E214" i="16"/>
  <c r="K202" i="16"/>
  <c r="K236" i="16" s="1"/>
  <c r="K270" i="16"/>
  <c r="F133" i="16"/>
  <c r="E6" i="16"/>
  <c r="E350" i="16"/>
  <c r="E361" i="16" s="1"/>
  <c r="E121" i="16"/>
  <c r="E109" i="16"/>
  <c r="D133" i="16"/>
  <c r="L76" i="16"/>
  <c r="Q110" i="16"/>
  <c r="Q76" i="16" s="1"/>
  <c r="Q156" i="16"/>
  <c r="K282" i="16" l="1"/>
  <c r="K248" i="16"/>
  <c r="F168" i="16"/>
  <c r="F180" i="16" s="1"/>
  <c r="D168" i="16"/>
  <c r="D180" i="16" s="1"/>
  <c r="E133" i="16"/>
  <c r="E168" i="16" l="1"/>
  <c r="E180" i="16" s="1"/>
  <c r="E29" i="16"/>
  <c r="J37" i="1" l="1"/>
  <c r="G37" i="1"/>
  <c r="F37" i="1"/>
  <c r="Q24" i="1"/>
  <c r="P24" i="1"/>
  <c r="N25" i="1"/>
  <c r="P11" i="1"/>
  <c r="R16" i="1" s="1"/>
  <c r="M25" i="1"/>
  <c r="L35" i="1"/>
  <c r="U21" i="1"/>
  <c r="P25" i="1" l="1"/>
  <c r="C19" i="1"/>
  <c r="C16" i="1"/>
  <c r="G36" i="1"/>
  <c r="G35" i="1"/>
  <c r="M35" i="1" l="1"/>
  <c r="J35" i="1"/>
  <c r="M36" i="1"/>
  <c r="J36" i="1"/>
  <c r="C20" i="1"/>
  <c r="C24" i="1" l="1"/>
  <c r="Q4" i="1" s="1"/>
  <c r="O7" i="1" s="1"/>
  <c r="AC52" i="1" s="1"/>
  <c r="AE52" i="1" s="1"/>
  <c r="AE53" i="1" s="1"/>
  <c r="E44" i="1" s="1"/>
  <c r="H44" i="1" l="1"/>
  <c r="K44" i="1" s="1"/>
  <c r="N44" i="1"/>
  <c r="M33" i="1"/>
  <c r="J33" i="1"/>
  <c r="M32" i="1"/>
  <c r="J32" i="1"/>
  <c r="M28" i="1"/>
  <c r="J28" i="1"/>
  <c r="I28" i="1"/>
  <c r="E34" i="1"/>
  <c r="H34" i="1" s="1"/>
  <c r="R12" i="1"/>
  <c r="AD19" i="1"/>
  <c r="Z33" i="1" s="1"/>
  <c r="AD16" i="1"/>
  <c r="Z32" i="1" s="1"/>
  <c r="AD22" i="1"/>
  <c r="Z34" i="1" s="1"/>
  <c r="AE11" i="1"/>
  <c r="AF8" i="1"/>
  <c r="AA8" i="1"/>
  <c r="AD5" i="1"/>
  <c r="U7" i="1"/>
  <c r="U4" i="1"/>
  <c r="I22" i="1"/>
  <c r="I19" i="1"/>
  <c r="I16" i="1"/>
  <c r="J11" i="1"/>
  <c r="K8" i="1"/>
  <c r="F8" i="1"/>
  <c r="I5" i="1"/>
  <c r="B2" i="1"/>
  <c r="B9" i="1" l="1"/>
  <c r="Z27" i="1" s="1"/>
  <c r="AC28" i="1"/>
  <c r="B10" i="1"/>
  <c r="Z28" i="1" s="1"/>
  <c r="AC30" i="1"/>
  <c r="G57" i="1"/>
  <c r="L56" i="1"/>
  <c r="B11" i="1"/>
  <c r="Z29" i="1" s="1"/>
  <c r="AC29" i="1"/>
  <c r="Z35" i="1"/>
  <c r="K34" i="1"/>
  <c r="N34" i="1"/>
  <c r="P58" i="1" s="1"/>
  <c r="T57" i="1" s="1"/>
  <c r="U8" i="1"/>
  <c r="E29" i="1" s="1"/>
  <c r="AD23" i="1"/>
  <c r="J12" i="1"/>
  <c r="I23" i="1"/>
  <c r="AE12" i="1"/>
  <c r="AC31" i="1" l="1"/>
  <c r="E33" i="1" s="1"/>
  <c r="N33" i="1" s="1"/>
  <c r="L51" i="1" s="1"/>
  <c r="P51" i="1" s="1"/>
  <c r="T50" i="1" s="1"/>
  <c r="F110" i="16"/>
  <c r="F76" i="16" s="1"/>
  <c r="G52" i="1"/>
  <c r="P56" i="1"/>
  <c r="T55" i="1" s="1"/>
  <c r="L57" i="1"/>
  <c r="P57" i="1" s="1"/>
  <c r="T56" i="1" s="1"/>
  <c r="CC240" i="16"/>
  <c r="AG308" i="16"/>
  <c r="AG286" i="16"/>
  <c r="BE286" i="16" s="1"/>
  <c r="CC286" i="16" s="1"/>
  <c r="H297" i="16"/>
  <c r="AM240" i="16"/>
  <c r="AG342" i="16"/>
  <c r="BE342" i="16" s="1"/>
  <c r="CC342" i="16" s="1"/>
  <c r="AA320" i="16"/>
  <c r="AY320" i="16" s="1"/>
  <c r="BW320" i="16" s="1"/>
  <c r="AG252" i="16"/>
  <c r="BE252" i="16" s="1"/>
  <c r="CC252" i="16" s="1"/>
  <c r="AG240" i="16"/>
  <c r="BE240" i="16" s="1"/>
  <c r="AM342" i="16"/>
  <c r="AM308" i="16"/>
  <c r="AA218" i="16"/>
  <c r="AM252" i="16"/>
  <c r="AM286" i="16"/>
  <c r="AG274" i="16"/>
  <c r="AM218" i="16"/>
  <c r="AA206" i="16"/>
  <c r="AM206" i="16"/>
  <c r="C110" i="16"/>
  <c r="H33" i="1"/>
  <c r="P59" i="1"/>
  <c r="H365" i="16"/>
  <c r="M365" i="16" s="1"/>
  <c r="R365" i="16" s="1"/>
  <c r="H354" i="16"/>
  <c r="M354" i="16" s="1"/>
  <c r="R354" i="16" s="1"/>
  <c r="C297" i="16"/>
  <c r="M297" i="16" s="1"/>
  <c r="R297" i="16" s="1"/>
  <c r="C263" i="16"/>
  <c r="H263" i="16" s="1"/>
  <c r="M263" i="16" s="1"/>
  <c r="R263" i="16" s="1"/>
  <c r="H161" i="16"/>
  <c r="H125" i="16"/>
  <c r="C79" i="16"/>
  <c r="H79" i="16" s="1"/>
  <c r="M79" i="16" s="1"/>
  <c r="R79" i="16" s="1"/>
  <c r="C113" i="16"/>
  <c r="H113" i="16" s="1"/>
  <c r="M113" i="16" s="1"/>
  <c r="R113" i="16" s="1"/>
  <c r="H33" i="16"/>
  <c r="M10" i="16"/>
  <c r="R10" i="16" s="1"/>
  <c r="B12" i="1"/>
  <c r="E36" i="1" s="1"/>
  <c r="U17" i="1"/>
  <c r="E31" i="1" s="1"/>
  <c r="H29" i="1"/>
  <c r="N29" i="1"/>
  <c r="E32" i="1"/>
  <c r="E28" i="1"/>
  <c r="L49" i="1" s="1"/>
  <c r="U12" i="1"/>
  <c r="K110" i="16" l="1"/>
  <c r="K76" i="16" s="1"/>
  <c r="C76" i="16"/>
  <c r="H110" i="16"/>
  <c r="BE274" i="16"/>
  <c r="CC274" i="16" s="1"/>
  <c r="AA274" i="16"/>
  <c r="AY274" i="16" s="1"/>
  <c r="BW274" i="16" s="1"/>
  <c r="AM274" i="16"/>
  <c r="BK274" i="16" s="1"/>
  <c r="CI274" i="16" s="1"/>
  <c r="CI308" i="16"/>
  <c r="AM309" i="16"/>
  <c r="BK308" i="16"/>
  <c r="AG304" i="16"/>
  <c r="BE304" i="16" s="1"/>
  <c r="AA316" i="16"/>
  <c r="AY316" i="16" s="1"/>
  <c r="AA282" i="16"/>
  <c r="AG338" i="16"/>
  <c r="BE338" i="16" s="1"/>
  <c r="AA248" i="16"/>
  <c r="AA214" i="16"/>
  <c r="AY214" i="16" s="1"/>
  <c r="BW214" i="16" s="1"/>
  <c r="AG202" i="16"/>
  <c r="BK240" i="16"/>
  <c r="CI240" i="16" s="1"/>
  <c r="BK206" i="16"/>
  <c r="CI206" i="16" s="1"/>
  <c r="AM207" i="16"/>
  <c r="BK207" i="16" s="1"/>
  <c r="CI207" i="16" s="1"/>
  <c r="AM320" i="16"/>
  <c r="BK320" i="16" s="1"/>
  <c r="AM287" i="16"/>
  <c r="BK286" i="16"/>
  <c r="CI286" i="16" s="1"/>
  <c r="AM343" i="16"/>
  <c r="BK342" i="16"/>
  <c r="CC308" i="16"/>
  <c r="BE308" i="16"/>
  <c r="CF240" i="16"/>
  <c r="AD320" i="16"/>
  <c r="BB320" i="16" s="1"/>
  <c r="BZ320" i="16" s="1"/>
  <c r="AJ252" i="16"/>
  <c r="BH252" i="16" s="1"/>
  <c r="CF252" i="16" s="1"/>
  <c r="K297" i="16"/>
  <c r="AJ308" i="16"/>
  <c r="AP240" i="16"/>
  <c r="AJ286" i="16"/>
  <c r="BH286" i="16" s="1"/>
  <c r="CF286" i="16" s="1"/>
  <c r="AJ342" i="16"/>
  <c r="BH342" i="16" s="1"/>
  <c r="CF342" i="16" s="1"/>
  <c r="AP308" i="16"/>
  <c r="AJ240" i="16"/>
  <c r="BH240" i="16" s="1"/>
  <c r="AD218" i="16"/>
  <c r="AP286" i="16"/>
  <c r="AP342" i="16"/>
  <c r="AP252" i="16"/>
  <c r="AP218" i="16"/>
  <c r="AP206" i="16"/>
  <c r="AD206" i="16"/>
  <c r="AJ274" i="16"/>
  <c r="F67" i="1"/>
  <c r="AG206" i="16"/>
  <c r="BE206" i="16" s="1"/>
  <c r="CC206" i="16" s="1"/>
  <c r="AY206" i="16"/>
  <c r="BW206" i="16" s="1"/>
  <c r="BK252" i="16"/>
  <c r="CI252" i="16" s="1"/>
  <c r="AM253" i="16"/>
  <c r="BK253" i="16" s="1"/>
  <c r="CI253" i="16" s="1"/>
  <c r="H20" i="16"/>
  <c r="AA251" i="16"/>
  <c r="AA285" i="16"/>
  <c r="O239" i="16"/>
  <c r="O273" i="16"/>
  <c r="CD240" i="16"/>
  <c r="AH286" i="16"/>
  <c r="BF286" i="16" s="1"/>
  <c r="CD286" i="16" s="1"/>
  <c r="AH342" i="16"/>
  <c r="BF342" i="16" s="1"/>
  <c r="CD342" i="16" s="1"/>
  <c r="AB320" i="16"/>
  <c r="AZ320" i="16" s="1"/>
  <c r="BX320" i="16" s="1"/>
  <c r="I297" i="16"/>
  <c r="AH252" i="16"/>
  <c r="BF252" i="16" s="1"/>
  <c r="CD252" i="16" s="1"/>
  <c r="AN240" i="16"/>
  <c r="BL240" i="16" s="1"/>
  <c r="CJ240" i="16" s="1"/>
  <c r="AH308" i="16"/>
  <c r="AN342" i="16"/>
  <c r="AN308" i="16"/>
  <c r="AB218" i="16"/>
  <c r="AN252" i="16"/>
  <c r="AN286" i="16"/>
  <c r="AH240" i="16"/>
  <c r="BF240" i="16" s="1"/>
  <c r="AB206" i="16"/>
  <c r="AH274" i="16"/>
  <c r="AN218" i="16"/>
  <c r="AN206" i="16"/>
  <c r="D110" i="16"/>
  <c r="K33" i="1"/>
  <c r="E110" i="16" s="1"/>
  <c r="BK218" i="16"/>
  <c r="CI218" i="16" s="1"/>
  <c r="AM219" i="16"/>
  <c r="BK219" i="16" s="1"/>
  <c r="CI219" i="16" s="1"/>
  <c r="AG218" i="16"/>
  <c r="BE218" i="16" s="1"/>
  <c r="CC218" i="16" s="1"/>
  <c r="AY218" i="16"/>
  <c r="BW218" i="16" s="1"/>
  <c r="P110" i="16"/>
  <c r="U110" i="16" s="1"/>
  <c r="P49" i="1"/>
  <c r="T49" i="1" s="1"/>
  <c r="G55" i="1"/>
  <c r="G56" i="1"/>
  <c r="L54" i="1"/>
  <c r="F263" i="16"/>
  <c r="K263" i="16" s="1"/>
  <c r="P263" i="16" s="1"/>
  <c r="U263" i="16" s="1"/>
  <c r="K365" i="16"/>
  <c r="P365" i="16" s="1"/>
  <c r="U365" i="16" s="1"/>
  <c r="K354" i="16"/>
  <c r="P354" i="16" s="1"/>
  <c r="U354" i="16" s="1"/>
  <c r="F297" i="16"/>
  <c r="F113" i="16"/>
  <c r="K113" i="16" s="1"/>
  <c r="P113" i="16" s="1"/>
  <c r="U113" i="16" s="1"/>
  <c r="K161" i="16"/>
  <c r="K125" i="16"/>
  <c r="F79" i="16"/>
  <c r="K79" i="16" s="1"/>
  <c r="P79" i="16" s="1"/>
  <c r="U79" i="16" s="1"/>
  <c r="H10" i="16"/>
  <c r="P10" i="16"/>
  <c r="U10" i="16" s="1"/>
  <c r="H137" i="16"/>
  <c r="M125" i="16"/>
  <c r="N28" i="1"/>
  <c r="O28" i="1"/>
  <c r="U13" i="1"/>
  <c r="E30" i="1" s="1"/>
  <c r="Q25" i="1"/>
  <c r="R25" i="1" s="1"/>
  <c r="E37" i="1" s="1"/>
  <c r="I354" i="16"/>
  <c r="N354" i="16" s="1"/>
  <c r="S354" i="16" s="1"/>
  <c r="D297" i="16"/>
  <c r="N297" i="16" s="1"/>
  <c r="S297" i="16" s="1"/>
  <c r="D263" i="16"/>
  <c r="I263" i="16" s="1"/>
  <c r="N263" i="16" s="1"/>
  <c r="S263" i="16" s="1"/>
  <c r="I365" i="16"/>
  <c r="N365" i="16" s="1"/>
  <c r="S365" i="16" s="1"/>
  <c r="I125" i="16"/>
  <c r="D79" i="16"/>
  <c r="I79" i="16" s="1"/>
  <c r="N79" i="16" s="1"/>
  <c r="S79" i="16" s="1"/>
  <c r="D113" i="16"/>
  <c r="I113" i="16" s="1"/>
  <c r="N113" i="16" s="1"/>
  <c r="S113" i="16" s="1"/>
  <c r="I161" i="16"/>
  <c r="I33" i="16"/>
  <c r="N10" i="16"/>
  <c r="S10" i="16" s="1"/>
  <c r="H55" i="16"/>
  <c r="M55" i="16" s="1"/>
  <c r="R55" i="16" s="1"/>
  <c r="M33" i="16"/>
  <c r="R33" i="16" s="1"/>
  <c r="M161" i="16"/>
  <c r="H172" i="16"/>
  <c r="H184" i="16" s="1"/>
  <c r="C194" i="16"/>
  <c r="H194" i="16" s="1"/>
  <c r="M194" i="16" s="1"/>
  <c r="R194" i="16" s="1"/>
  <c r="C66" i="16"/>
  <c r="C183" i="16"/>
  <c r="H183" i="16" s="1"/>
  <c r="M183" i="16" s="1"/>
  <c r="R183" i="16" s="1"/>
  <c r="H148" i="16"/>
  <c r="H32" i="1"/>
  <c r="H36" i="1"/>
  <c r="K36" i="1" s="1"/>
  <c r="N36" i="1"/>
  <c r="F64" i="1" s="1"/>
  <c r="Z30" i="1"/>
  <c r="E35" i="1" s="1"/>
  <c r="N31" i="1"/>
  <c r="T52" i="1" s="1"/>
  <c r="H31" i="1"/>
  <c r="K29" i="1"/>
  <c r="N32" i="1"/>
  <c r="H28" i="1"/>
  <c r="P28" i="1" s="1"/>
  <c r="P297" i="16" l="1"/>
  <c r="U297" i="16" s="1"/>
  <c r="C16" i="16"/>
  <c r="I281" i="16"/>
  <c r="I247" i="16"/>
  <c r="C303" i="16"/>
  <c r="I315" i="16"/>
  <c r="C337" i="16"/>
  <c r="C315" i="16"/>
  <c r="I337" i="16"/>
  <c r="C235" i="16"/>
  <c r="I269" i="16"/>
  <c r="I235" i="16"/>
  <c r="C269" i="16"/>
  <c r="I201" i="16"/>
  <c r="C201" i="16"/>
  <c r="C213" i="16"/>
  <c r="I213" i="16"/>
  <c r="AG303" i="16"/>
  <c r="AA315" i="16"/>
  <c r="AG247" i="16"/>
  <c r="AG281" i="16"/>
  <c r="AA337" i="16"/>
  <c r="AA303" i="16"/>
  <c r="AG315" i="16"/>
  <c r="AG337" i="16"/>
  <c r="AA269" i="16"/>
  <c r="AG201" i="16"/>
  <c r="BE201" i="16" s="1"/>
  <c r="AG269" i="16"/>
  <c r="AG235" i="16"/>
  <c r="BE235" i="16" s="1"/>
  <c r="AA235" i="16"/>
  <c r="AG213" i="16"/>
  <c r="AA201" i="16"/>
  <c r="AA213" i="16"/>
  <c r="D76" i="16"/>
  <c r="I110" i="16"/>
  <c r="AH206" i="16"/>
  <c r="BF206" i="16" s="1"/>
  <c r="CD206" i="16" s="1"/>
  <c r="AZ206" i="16"/>
  <c r="BX206" i="16" s="1"/>
  <c r="AH218" i="16"/>
  <c r="BF218" i="16" s="1"/>
  <c r="CD218" i="16" s="1"/>
  <c r="AZ218" i="16"/>
  <c r="BX218" i="16" s="1"/>
  <c r="O241" i="16"/>
  <c r="AM239" i="16"/>
  <c r="BN218" i="16"/>
  <c r="CL218" i="16" s="1"/>
  <c r="AP219" i="16"/>
  <c r="BN219" i="16" s="1"/>
  <c r="CL219" i="16" s="1"/>
  <c r="AJ218" i="16"/>
  <c r="BH218" i="16" s="1"/>
  <c r="CF218" i="16" s="1"/>
  <c r="BB218" i="16"/>
  <c r="BZ218" i="16" s="1"/>
  <c r="AM321" i="16"/>
  <c r="BK287" i="16"/>
  <c r="CI287" i="16" s="1"/>
  <c r="CE240" i="16"/>
  <c r="AO240" i="16"/>
  <c r="J297" i="16"/>
  <c r="AI342" i="16"/>
  <c r="BG342" i="16" s="1"/>
  <c r="CE342" i="16" s="1"/>
  <c r="AC320" i="16"/>
  <c r="BA320" i="16" s="1"/>
  <c r="BY320" i="16" s="1"/>
  <c r="AI308" i="16"/>
  <c r="AI252" i="16"/>
  <c r="BG252" i="16" s="1"/>
  <c r="CE252" i="16" s="1"/>
  <c r="AI286" i="16"/>
  <c r="BG286" i="16" s="1"/>
  <c r="CE286" i="16" s="1"/>
  <c r="AO286" i="16"/>
  <c r="AC218" i="16"/>
  <c r="AO308" i="16"/>
  <c r="AO252" i="16"/>
  <c r="AI240" i="16"/>
  <c r="BG240" i="16" s="1"/>
  <c r="AO342" i="16"/>
  <c r="AO206" i="16"/>
  <c r="AO218" i="16"/>
  <c r="AI274" i="16"/>
  <c r="AC206" i="16"/>
  <c r="AB248" i="16"/>
  <c r="AH304" i="16"/>
  <c r="BF304" i="16" s="1"/>
  <c r="AB282" i="16"/>
  <c r="AB316" i="16"/>
  <c r="AZ316" i="16" s="1"/>
  <c r="AH338" i="16"/>
  <c r="BF338" i="16" s="1"/>
  <c r="AB214" i="16"/>
  <c r="AZ214" i="16" s="1"/>
  <c r="BX214" i="16" s="1"/>
  <c r="AH202" i="16"/>
  <c r="AJ303" i="16"/>
  <c r="AD315" i="16"/>
  <c r="AJ281" i="16"/>
  <c r="AJ247" i="16"/>
  <c r="AJ337" i="16"/>
  <c r="AD337" i="16"/>
  <c r="AD303" i="16"/>
  <c r="AJ315" i="16"/>
  <c r="AJ201" i="16"/>
  <c r="BH201" i="16" s="1"/>
  <c r="AJ235" i="16"/>
  <c r="BH235" i="16" s="1"/>
  <c r="AD269" i="16"/>
  <c r="AD235" i="16"/>
  <c r="AJ269" i="16"/>
  <c r="AD213" i="16"/>
  <c r="AJ213" i="16"/>
  <c r="AD201" i="16"/>
  <c r="BL206" i="16"/>
  <c r="CJ206" i="16" s="1"/>
  <c r="AN207" i="16"/>
  <c r="BL207" i="16" s="1"/>
  <c r="CJ207" i="16" s="1"/>
  <c r="AN309" i="16"/>
  <c r="CJ308" i="16"/>
  <c r="BL308" i="16"/>
  <c r="AG285" i="16"/>
  <c r="BE285" i="16" s="1"/>
  <c r="CC285" i="16" s="1"/>
  <c r="AY285" i="16"/>
  <c r="BW285" i="16" s="1"/>
  <c r="C285" i="16"/>
  <c r="I285" i="16" s="1"/>
  <c r="AP274" i="16"/>
  <c r="BN274" i="16" s="1"/>
  <c r="CL274" i="16" s="1"/>
  <c r="BH274" i="16"/>
  <c r="CF274" i="16" s="1"/>
  <c r="AD274" i="16"/>
  <c r="BB274" i="16" s="1"/>
  <c r="BZ274" i="16" s="1"/>
  <c r="BN252" i="16"/>
  <c r="CL252" i="16" s="1"/>
  <c r="AP253" i="16"/>
  <c r="BN253" i="16" s="1"/>
  <c r="CL253" i="16" s="1"/>
  <c r="CI342" i="16"/>
  <c r="BK343" i="16"/>
  <c r="CI343" i="16" s="1"/>
  <c r="CI320" i="16"/>
  <c r="BK321" i="16"/>
  <c r="CI321" i="16" s="1"/>
  <c r="BE202" i="16"/>
  <c r="AG236" i="16"/>
  <c r="C282" i="16"/>
  <c r="C287" i="16" s="1"/>
  <c r="C288" i="16" s="1"/>
  <c r="AA287" i="16"/>
  <c r="AY282" i="16"/>
  <c r="BW282" i="16" s="1"/>
  <c r="CI309" i="16"/>
  <c r="BK309" i="16"/>
  <c r="L50" i="1"/>
  <c r="AJ304" i="16"/>
  <c r="BH304" i="16" s="1"/>
  <c r="AD282" i="16"/>
  <c r="AD316" i="16"/>
  <c r="BB316" i="16" s="1"/>
  <c r="AJ338" i="16"/>
  <c r="BH338" i="16" s="1"/>
  <c r="AD248" i="16"/>
  <c r="AD214" i="16"/>
  <c r="BB214" i="16" s="1"/>
  <c r="BZ214" i="16" s="1"/>
  <c r="AJ202" i="16"/>
  <c r="I20" i="16"/>
  <c r="AB251" i="16"/>
  <c r="AB285" i="16"/>
  <c r="P239" i="16"/>
  <c r="C306" i="16"/>
  <c r="C340" i="16"/>
  <c r="C318" i="16"/>
  <c r="I216" i="16"/>
  <c r="C272" i="16"/>
  <c r="C204" i="16"/>
  <c r="C216" i="16"/>
  <c r="AA216" i="16" s="1"/>
  <c r="AG216" i="16" s="1"/>
  <c r="BL218" i="16"/>
  <c r="CJ218" i="16" s="1"/>
  <c r="AN219" i="16"/>
  <c r="BL219" i="16" s="1"/>
  <c r="CJ219" i="16" s="1"/>
  <c r="AN320" i="16"/>
  <c r="BL320" i="16" s="1"/>
  <c r="AN287" i="16"/>
  <c r="BL286" i="16"/>
  <c r="CJ286" i="16" s="1"/>
  <c r="BL342" i="16"/>
  <c r="AN343" i="16"/>
  <c r="AG251" i="16"/>
  <c r="AY251" i="16"/>
  <c r="BW251" i="16" s="1"/>
  <c r="AJ206" i="16"/>
  <c r="BH206" i="16" s="1"/>
  <c r="CF206" i="16" s="1"/>
  <c r="BB206" i="16"/>
  <c r="BZ206" i="16" s="1"/>
  <c r="AP343" i="16"/>
  <c r="BN342" i="16"/>
  <c r="AP309" i="16"/>
  <c r="BN308" i="16"/>
  <c r="CL308" i="16"/>
  <c r="CF308" i="16"/>
  <c r="BH308" i="16"/>
  <c r="H76" i="16"/>
  <c r="M110" i="16"/>
  <c r="AH303" i="16"/>
  <c r="AH281" i="16"/>
  <c r="AB315" i="16"/>
  <c r="AH247" i="16"/>
  <c r="AB303" i="16"/>
  <c r="AH315" i="16"/>
  <c r="AH337" i="16"/>
  <c r="AB337" i="16"/>
  <c r="AH269" i="16"/>
  <c r="BF269" i="16" s="1"/>
  <c r="AB235" i="16"/>
  <c r="AH201" i="16"/>
  <c r="BF201" i="16" s="1"/>
  <c r="AH235" i="16"/>
  <c r="AB269" i="16"/>
  <c r="AH213" i="16"/>
  <c r="AB213" i="16"/>
  <c r="AB201" i="16"/>
  <c r="AD251" i="16"/>
  <c r="AD285" i="16"/>
  <c r="R239" i="16"/>
  <c r="R273" i="16"/>
  <c r="M227" i="16"/>
  <c r="R227" i="16" s="1"/>
  <c r="AY318" i="16"/>
  <c r="AY306" i="16"/>
  <c r="AY340" i="16"/>
  <c r="AY238" i="16"/>
  <c r="AY204" i="16"/>
  <c r="BW204" i="16" s="1"/>
  <c r="AY272" i="16"/>
  <c r="AY216" i="16"/>
  <c r="BE204" i="16"/>
  <c r="CC204" i="16" s="1"/>
  <c r="J110" i="16"/>
  <c r="E76" i="16"/>
  <c r="AN274" i="16"/>
  <c r="BL274" i="16" s="1"/>
  <c r="CJ274" i="16" s="1"/>
  <c r="BF274" i="16"/>
  <c r="CD274" i="16" s="1"/>
  <c r="AB274" i="16"/>
  <c r="AZ274" i="16" s="1"/>
  <c r="BX274" i="16" s="1"/>
  <c r="AN253" i="16"/>
  <c r="BL253" i="16" s="1"/>
  <c r="CJ253" i="16" s="1"/>
  <c r="BL252" i="16"/>
  <c r="CJ252" i="16" s="1"/>
  <c r="CD308" i="16"/>
  <c r="BF308" i="16"/>
  <c r="AM273" i="16"/>
  <c r="O275" i="16"/>
  <c r="K20" i="16"/>
  <c r="M20" i="16"/>
  <c r="R20" i="16" s="1"/>
  <c r="C20" i="16"/>
  <c r="C22" i="16" s="1"/>
  <c r="BN240" i="16"/>
  <c r="CL240" i="16" s="1"/>
  <c r="AP207" i="16"/>
  <c r="BN207" i="16" s="1"/>
  <c r="CL207" i="16" s="1"/>
  <c r="BN206" i="16"/>
  <c r="CL206" i="16" s="1"/>
  <c r="AP287" i="16"/>
  <c r="AP320" i="16"/>
  <c r="BN320" i="16" s="1"/>
  <c r="BN286" i="16"/>
  <c r="CL286" i="16" s="1"/>
  <c r="AY248" i="16"/>
  <c r="BW248" i="16" s="1"/>
  <c r="C248" i="16"/>
  <c r="AA253" i="16"/>
  <c r="P50" i="1"/>
  <c r="T59" i="1" s="1"/>
  <c r="G50" i="1"/>
  <c r="M148" i="16"/>
  <c r="R148" i="16" s="1"/>
  <c r="C148" i="16"/>
  <c r="P76" i="16"/>
  <c r="G54" i="1"/>
  <c r="L53" i="1"/>
  <c r="P53" i="1" s="1"/>
  <c r="L55" i="1"/>
  <c r="P55" i="1" s="1"/>
  <c r="T54" i="1" s="1"/>
  <c r="P54" i="1"/>
  <c r="T53" i="1" s="1"/>
  <c r="I349" i="16"/>
  <c r="I74" i="16"/>
  <c r="I224" i="16"/>
  <c r="N224" i="16" s="1"/>
  <c r="S224" i="16" s="1"/>
  <c r="I326" i="16"/>
  <c r="I292" i="16"/>
  <c r="I258" i="16"/>
  <c r="I62" i="16"/>
  <c r="I120" i="16"/>
  <c r="I39" i="16"/>
  <c r="I5" i="16"/>
  <c r="I156" i="16"/>
  <c r="I190" i="16"/>
  <c r="I167" i="16"/>
  <c r="I179" i="16"/>
  <c r="F194" i="16"/>
  <c r="K194" i="16" s="1"/>
  <c r="P194" i="16" s="1"/>
  <c r="U194" i="16" s="1"/>
  <c r="K148" i="16"/>
  <c r="F66" i="16"/>
  <c r="F183" i="16"/>
  <c r="K183" i="16" s="1"/>
  <c r="P183" i="16" s="1"/>
  <c r="U183" i="16" s="1"/>
  <c r="N33" i="16"/>
  <c r="S33" i="16" s="1"/>
  <c r="I55" i="16"/>
  <c r="N55" i="16" s="1"/>
  <c r="S55" i="16" s="1"/>
  <c r="N125" i="16"/>
  <c r="I137" i="16"/>
  <c r="C352" i="16"/>
  <c r="C295" i="16"/>
  <c r="H295" i="16" s="1"/>
  <c r="C261" i="16"/>
  <c r="H261" i="16" s="1"/>
  <c r="C329" i="16"/>
  <c r="H329" i="16" s="1"/>
  <c r="C193" i="16"/>
  <c r="H193" i="16" s="1"/>
  <c r="C123" i="16"/>
  <c r="C77" i="16"/>
  <c r="H77" i="16" s="1"/>
  <c r="H42" i="16"/>
  <c r="C42" i="16" s="1"/>
  <c r="C111" i="16"/>
  <c r="C8" i="16"/>
  <c r="N37" i="1"/>
  <c r="H37" i="1"/>
  <c r="R125" i="16"/>
  <c r="R137" i="16" s="1"/>
  <c r="M137" i="16"/>
  <c r="C74" i="16"/>
  <c r="C80" i="16" s="1"/>
  <c r="C349" i="16"/>
  <c r="C292" i="16"/>
  <c r="C326" i="16"/>
  <c r="C224" i="16"/>
  <c r="C258" i="16"/>
  <c r="C190" i="16"/>
  <c r="C85" i="16"/>
  <c r="C62" i="16"/>
  <c r="C68" i="16" s="1"/>
  <c r="C179" i="16"/>
  <c r="C185" i="16" s="1"/>
  <c r="C156" i="16"/>
  <c r="C167" i="16"/>
  <c r="C28" i="16"/>
  <c r="R161" i="16"/>
  <c r="R172" i="16" s="1"/>
  <c r="R184" i="16" s="1"/>
  <c r="M172" i="16"/>
  <c r="M184" i="16" s="1"/>
  <c r="U76" i="16"/>
  <c r="N161" i="16"/>
  <c r="I172" i="16"/>
  <c r="I184" i="16" s="1"/>
  <c r="M329" i="16"/>
  <c r="R329" i="16" s="1"/>
  <c r="M352" i="16"/>
  <c r="M295" i="16"/>
  <c r="R295" i="16" s="1"/>
  <c r="M261" i="16"/>
  <c r="R261" i="16" s="1"/>
  <c r="M170" i="16"/>
  <c r="R170" i="16" s="1"/>
  <c r="M123" i="16"/>
  <c r="M53" i="16"/>
  <c r="R53" i="16" s="1"/>
  <c r="M159" i="16"/>
  <c r="R159" i="16" s="1"/>
  <c r="M42" i="16"/>
  <c r="R42" i="16" s="1"/>
  <c r="M8" i="16"/>
  <c r="R8" i="16" s="1"/>
  <c r="M31" i="16"/>
  <c r="R31" i="16" s="1"/>
  <c r="M193" i="16"/>
  <c r="R193" i="16" s="1"/>
  <c r="M111" i="16"/>
  <c r="M77" i="16"/>
  <c r="R77" i="16" s="1"/>
  <c r="K31" i="1"/>
  <c r="D194" i="16"/>
  <c r="I194" i="16" s="1"/>
  <c r="N194" i="16" s="1"/>
  <c r="S194" i="16" s="1"/>
  <c r="D66" i="16"/>
  <c r="D183" i="16"/>
  <c r="I183" i="16" s="1"/>
  <c r="N183" i="16" s="1"/>
  <c r="S183" i="16" s="1"/>
  <c r="I148" i="16"/>
  <c r="E297" i="16"/>
  <c r="O297" i="16" s="1"/>
  <c r="T297" i="16" s="1"/>
  <c r="E263" i="16"/>
  <c r="J263" i="16" s="1"/>
  <c r="O263" i="16" s="1"/>
  <c r="T263" i="16" s="1"/>
  <c r="J365" i="16"/>
  <c r="O365" i="16" s="1"/>
  <c r="T365" i="16" s="1"/>
  <c r="J354" i="16"/>
  <c r="O354" i="16" s="1"/>
  <c r="T354" i="16" s="1"/>
  <c r="E79" i="16"/>
  <c r="J79" i="16" s="1"/>
  <c r="O79" i="16" s="1"/>
  <c r="T79" i="16" s="1"/>
  <c r="E113" i="16"/>
  <c r="J113" i="16" s="1"/>
  <c r="O113" i="16" s="1"/>
  <c r="T113" i="16" s="1"/>
  <c r="J161" i="16"/>
  <c r="J125" i="16"/>
  <c r="J33" i="16"/>
  <c r="K32" i="1"/>
  <c r="H66" i="16"/>
  <c r="M66" i="16" s="1"/>
  <c r="R66" i="16" s="1"/>
  <c r="C89" i="16"/>
  <c r="H224" i="16"/>
  <c r="M224" i="16" s="1"/>
  <c r="R224" i="16" s="1"/>
  <c r="H349" i="16"/>
  <c r="H74" i="16"/>
  <c r="H292" i="16"/>
  <c r="H258" i="16"/>
  <c r="H326" i="16"/>
  <c r="H39" i="16"/>
  <c r="H62" i="16"/>
  <c r="H120" i="16"/>
  <c r="H5" i="16"/>
  <c r="H156" i="16"/>
  <c r="H28" i="16"/>
  <c r="H179" i="16"/>
  <c r="H167" i="16"/>
  <c r="H190" i="16"/>
  <c r="K137" i="16"/>
  <c r="P125" i="16"/>
  <c r="I10" i="16"/>
  <c r="O10" i="16"/>
  <c r="T10" i="16" s="1"/>
  <c r="K224" i="16"/>
  <c r="P224" i="16" s="1"/>
  <c r="U224" i="16" s="1"/>
  <c r="K349" i="16"/>
  <c r="K74" i="16"/>
  <c r="K326" i="16"/>
  <c r="K258" i="16"/>
  <c r="K292" i="16"/>
  <c r="K39" i="16"/>
  <c r="K62" i="16"/>
  <c r="K120" i="16"/>
  <c r="K5" i="16"/>
  <c r="K33" i="16"/>
  <c r="K190" i="16"/>
  <c r="K28" i="16"/>
  <c r="K156" i="16"/>
  <c r="K179" i="16"/>
  <c r="K167" i="16"/>
  <c r="K10" i="16"/>
  <c r="P161" i="16"/>
  <c r="K172" i="16"/>
  <c r="K184" i="16" s="1"/>
  <c r="N35" i="1"/>
  <c r="H35" i="1"/>
  <c r="H30" i="1"/>
  <c r="N30" i="1"/>
  <c r="T51" i="1" s="1"/>
  <c r="T62" i="1" s="1"/>
  <c r="C7" i="18" s="1"/>
  <c r="K28" i="1"/>
  <c r="P20" i="16" l="1"/>
  <c r="U20" i="16" s="1"/>
  <c r="F20" i="16"/>
  <c r="BE238" i="16"/>
  <c r="CC238" i="16" s="1"/>
  <c r="BW238" i="16"/>
  <c r="BB251" i="16"/>
  <c r="BZ251" i="16" s="1"/>
  <c r="AJ251" i="16"/>
  <c r="AZ269" i="16"/>
  <c r="CD269" i="16"/>
  <c r="AZ303" i="16"/>
  <c r="BX303" i="16"/>
  <c r="CD303" i="16"/>
  <c r="BF303" i="16"/>
  <c r="CL309" i="16"/>
  <c r="BN309" i="16"/>
  <c r="BL343" i="16"/>
  <c r="CJ343" i="16" s="1"/>
  <c r="CJ342" i="16"/>
  <c r="AA272" i="16"/>
  <c r="I272" i="16"/>
  <c r="AG272" i="16" s="1"/>
  <c r="I306" i="16"/>
  <c r="AA306" i="16"/>
  <c r="J20" i="16"/>
  <c r="D20" i="16"/>
  <c r="N20" i="16"/>
  <c r="S20" i="16" s="1"/>
  <c r="AA288" i="16"/>
  <c r="AY287" i="16"/>
  <c r="BW287" i="16" s="1"/>
  <c r="BH269" i="16"/>
  <c r="CF201" i="16"/>
  <c r="BH337" i="16"/>
  <c r="CF303" i="16"/>
  <c r="BH303" i="16"/>
  <c r="AI206" i="16"/>
  <c r="BG206" i="16" s="1"/>
  <c r="CE206" i="16" s="1"/>
  <c r="BA206" i="16"/>
  <c r="BY206" i="16" s="1"/>
  <c r="BM342" i="16"/>
  <c r="AO343" i="16"/>
  <c r="BA218" i="16"/>
  <c r="BY218" i="16" s="1"/>
  <c r="AI218" i="16"/>
  <c r="BG218" i="16" s="1"/>
  <c r="CE218" i="16" s="1"/>
  <c r="CE308" i="16"/>
  <c r="BG308" i="16"/>
  <c r="BK239" i="16"/>
  <c r="CI239" i="16" s="1"/>
  <c r="AM241" i="16"/>
  <c r="BK241" i="16" s="1"/>
  <c r="CI241" i="16" s="1"/>
  <c r="AY213" i="16"/>
  <c r="AA219" i="16"/>
  <c r="AA220" i="16" s="1"/>
  <c r="CC235" i="16"/>
  <c r="BE241" i="16"/>
  <c r="BE337" i="16"/>
  <c r="BE281" i="16"/>
  <c r="CC281" i="16" s="1"/>
  <c r="AG287" i="16"/>
  <c r="I219" i="16"/>
  <c r="I220" i="16" s="1"/>
  <c r="C275" i="16"/>
  <c r="C276" i="16" s="1"/>
  <c r="C309" i="16"/>
  <c r="C310" i="16" s="1"/>
  <c r="AC282" i="16"/>
  <c r="AC316" i="16"/>
  <c r="BA316" i="16" s="1"/>
  <c r="AI338" i="16"/>
  <c r="BG338" i="16" s="1"/>
  <c r="AC248" i="16"/>
  <c r="AI304" i="16"/>
  <c r="BG304" i="16" s="1"/>
  <c r="AC214" i="16"/>
  <c r="BA214" i="16" s="1"/>
  <c r="BY214" i="16" s="1"/>
  <c r="AI202" i="16"/>
  <c r="AA254" i="16"/>
  <c r="AY253" i="16"/>
  <c r="BW253" i="16" s="1"/>
  <c r="CL320" i="16"/>
  <c r="BN321" i="16"/>
  <c r="CL321" i="16" s="1"/>
  <c r="BE216" i="16"/>
  <c r="CC216" i="16" s="1"/>
  <c r="BW216" i="16"/>
  <c r="BE340" i="16"/>
  <c r="CC340" i="16" s="1"/>
  <c r="BW340" i="16"/>
  <c r="AP273" i="16"/>
  <c r="R275" i="16"/>
  <c r="AZ201" i="16"/>
  <c r="BF235" i="16"/>
  <c r="AZ337" i="16"/>
  <c r="BF247" i="16"/>
  <c r="CD247" i="16" s="1"/>
  <c r="CL342" i="16"/>
  <c r="BN343" i="16"/>
  <c r="CL343" i="16" s="1"/>
  <c r="AN239" i="16"/>
  <c r="P241" i="16"/>
  <c r="BH202" i="16"/>
  <c r="AJ236" i="16"/>
  <c r="BB201" i="16"/>
  <c r="BB235" i="16"/>
  <c r="BH315" i="16"/>
  <c r="BH247" i="16"/>
  <c r="CF247" i="16" s="1"/>
  <c r="AJ253" i="16"/>
  <c r="BF202" i="16"/>
  <c r="AH236" i="16"/>
  <c r="D282" i="16"/>
  <c r="AB287" i="16"/>
  <c r="AZ282" i="16"/>
  <c r="BX282" i="16" s="1"/>
  <c r="BG274" i="16"/>
  <c r="CE274" i="16" s="1"/>
  <c r="AO274" i="16"/>
  <c r="BM274" i="16" s="1"/>
  <c r="CK274" i="16" s="1"/>
  <c r="AC274" i="16"/>
  <c r="BA274" i="16" s="1"/>
  <c r="BY274" i="16" s="1"/>
  <c r="AO320" i="16"/>
  <c r="BM320" i="16" s="1"/>
  <c r="BM286" i="16"/>
  <c r="CK286" i="16" s="1"/>
  <c r="AO287" i="16"/>
  <c r="AY201" i="16"/>
  <c r="AG275" i="16"/>
  <c r="AG276" i="16" s="1"/>
  <c r="BE269" i="16"/>
  <c r="BE315" i="16"/>
  <c r="BE247" i="16"/>
  <c r="CC247" i="16" s="1"/>
  <c r="AG253" i="16"/>
  <c r="C219" i="16"/>
  <c r="C220" i="16" s="1"/>
  <c r="T213" i="16" s="1"/>
  <c r="C321" i="16"/>
  <c r="C322" i="16" s="1"/>
  <c r="AI303" i="16"/>
  <c r="AC315" i="16"/>
  <c r="AI247" i="16"/>
  <c r="AI281" i="16"/>
  <c r="AI315" i="16"/>
  <c r="AC337" i="16"/>
  <c r="AI337" i="16"/>
  <c r="AC303" i="16"/>
  <c r="AI235" i="16"/>
  <c r="AC235" i="16"/>
  <c r="AC269" i="16"/>
  <c r="AI269" i="16"/>
  <c r="AI201" i="16"/>
  <c r="BG201" i="16" s="1"/>
  <c r="CE201" i="16" s="1"/>
  <c r="AC201" i="16"/>
  <c r="AC213" i="16"/>
  <c r="AI213" i="16"/>
  <c r="N227" i="16"/>
  <c r="S227" i="16" s="1"/>
  <c r="AZ306" i="16"/>
  <c r="AZ340" i="16"/>
  <c r="AZ318" i="16"/>
  <c r="AZ238" i="16"/>
  <c r="AZ204" i="16"/>
  <c r="BX204" i="16" s="1"/>
  <c r="AZ272" i="16"/>
  <c r="AZ216" i="16"/>
  <c r="BF204" i="16"/>
  <c r="CD204" i="16" s="1"/>
  <c r="D340" i="16"/>
  <c r="D318" i="16"/>
  <c r="D306" i="16"/>
  <c r="J216" i="16"/>
  <c r="D272" i="16"/>
  <c r="D204" i="16"/>
  <c r="D216" i="16"/>
  <c r="AB216" i="16" s="1"/>
  <c r="AH216" i="16" s="1"/>
  <c r="AP321" i="16"/>
  <c r="BN287" i="16"/>
  <c r="CL287" i="16" s="1"/>
  <c r="AM275" i="16"/>
  <c r="BK275" i="16" s="1"/>
  <c r="CI275" i="16" s="1"/>
  <c r="BK273" i="16"/>
  <c r="CI273" i="16" s="1"/>
  <c r="BW272" i="16"/>
  <c r="BE272" i="16"/>
  <c r="CC272" i="16" s="1"/>
  <c r="BW306" i="16"/>
  <c r="BE306" i="16"/>
  <c r="CC306" i="16" s="1"/>
  <c r="AP239" i="16"/>
  <c r="R241" i="16"/>
  <c r="AZ213" i="16"/>
  <c r="AB219" i="16"/>
  <c r="AB220" i="16" s="1"/>
  <c r="CD201" i="16"/>
  <c r="BF207" i="16"/>
  <c r="BF337" i="16"/>
  <c r="AZ315" i="16"/>
  <c r="M76" i="16"/>
  <c r="R110" i="16"/>
  <c r="R76" i="16" s="1"/>
  <c r="BE251" i="16"/>
  <c r="CC251" i="16" s="1"/>
  <c r="I251" i="16"/>
  <c r="C251" i="16" s="1"/>
  <c r="C253" i="16" s="1"/>
  <c r="C254" i="16" s="1"/>
  <c r="BL287" i="16"/>
  <c r="CJ287" i="16" s="1"/>
  <c r="AN321" i="16"/>
  <c r="I318" i="16"/>
  <c r="AG318" i="16" s="1"/>
  <c r="AG321" i="16" s="1"/>
  <c r="AG322" i="16" s="1"/>
  <c r="AA318" i="16"/>
  <c r="D285" i="16"/>
  <c r="J285" i="16" s="1"/>
  <c r="AZ285" i="16"/>
  <c r="BX285" i="16" s="1"/>
  <c r="AH285" i="16"/>
  <c r="BF285" i="16" s="1"/>
  <c r="CD285" i="16" s="1"/>
  <c r="F282" i="16"/>
  <c r="AD287" i="16"/>
  <c r="BB282" i="16"/>
  <c r="BZ282" i="16" s="1"/>
  <c r="BL309" i="16"/>
  <c r="CJ309" i="16"/>
  <c r="BH213" i="16"/>
  <c r="BB269" i="16"/>
  <c r="BB303" i="16"/>
  <c r="BZ303" i="16"/>
  <c r="BH281" i="16"/>
  <c r="CF281" i="16" s="1"/>
  <c r="BM218" i="16"/>
  <c r="CK218" i="16" s="1"/>
  <c r="AO219" i="16"/>
  <c r="BM219" i="16" s="1"/>
  <c r="CK219" i="16" s="1"/>
  <c r="BM252" i="16"/>
  <c r="CK252" i="16" s="1"/>
  <c r="AO253" i="16"/>
  <c r="BM253" i="16" s="1"/>
  <c r="CK253" i="16" s="1"/>
  <c r="I76" i="16"/>
  <c r="N110" i="16"/>
  <c r="BE213" i="16"/>
  <c r="AG219" i="16"/>
  <c r="AG220" i="16" s="1"/>
  <c r="CC201" i="16"/>
  <c r="BE207" i="16"/>
  <c r="BW303" i="16"/>
  <c r="BW309" i="16" s="1"/>
  <c r="BW310" i="16" s="1"/>
  <c r="AA309" i="16"/>
  <c r="AA310" i="16" s="1"/>
  <c r="AY303" i="16"/>
  <c r="AY309" i="16" s="1"/>
  <c r="AY310" i="16" s="1"/>
  <c r="AY315" i="16"/>
  <c r="AA321" i="16"/>
  <c r="AA322" i="16" s="1"/>
  <c r="C207" i="16"/>
  <c r="C208" i="16" s="1"/>
  <c r="I275" i="16"/>
  <c r="I276" i="16" s="1"/>
  <c r="C343" i="16"/>
  <c r="C344" i="16" s="1"/>
  <c r="I287" i="16"/>
  <c r="I288" i="16" s="1"/>
  <c r="T281" i="16" s="1"/>
  <c r="G49" i="1"/>
  <c r="L247" i="16"/>
  <c r="F16" i="16"/>
  <c r="L281" i="16"/>
  <c r="F337" i="16"/>
  <c r="F315" i="16"/>
  <c r="L337" i="16"/>
  <c r="F303" i="16"/>
  <c r="L315" i="16"/>
  <c r="L235" i="16"/>
  <c r="L270" i="16"/>
  <c r="L269" i="16"/>
  <c r="F235" i="16"/>
  <c r="F201" i="16"/>
  <c r="F213" i="16"/>
  <c r="L201" i="16"/>
  <c r="L213" i="16"/>
  <c r="F269" i="16"/>
  <c r="P52" i="1"/>
  <c r="P227" i="16"/>
  <c r="U227" i="16" s="1"/>
  <c r="BB306" i="16"/>
  <c r="BB318" i="16"/>
  <c r="BB340" i="16"/>
  <c r="BB238" i="16"/>
  <c r="BB216" i="16"/>
  <c r="BB204" i="16"/>
  <c r="BZ204" i="16" s="1"/>
  <c r="BB272" i="16"/>
  <c r="BH204" i="16"/>
  <c r="CF204" i="16" s="1"/>
  <c r="D16" i="16"/>
  <c r="J281" i="16"/>
  <c r="J287" i="16" s="1"/>
  <c r="J288" i="16" s="1"/>
  <c r="J247" i="16"/>
  <c r="D337" i="16"/>
  <c r="D343" i="16" s="1"/>
  <c r="D344" i="16" s="1"/>
  <c r="J337" i="16"/>
  <c r="J315" i="16"/>
  <c r="D315" i="16"/>
  <c r="D321" i="16" s="1"/>
  <c r="D322" i="16" s="1"/>
  <c r="D303" i="16"/>
  <c r="D309" i="16" s="1"/>
  <c r="D310" i="16" s="1"/>
  <c r="D235" i="16"/>
  <c r="J269" i="16"/>
  <c r="J235" i="16"/>
  <c r="D201" i="16"/>
  <c r="D207" i="16" s="1"/>
  <c r="D208" i="16" s="1"/>
  <c r="J201" i="16"/>
  <c r="D269" i="16"/>
  <c r="D275" i="16" s="1"/>
  <c r="D276" i="16" s="1"/>
  <c r="D213" i="16"/>
  <c r="D219" i="16" s="1"/>
  <c r="D220" i="16" s="1"/>
  <c r="J213" i="16"/>
  <c r="J219" i="16" s="1"/>
  <c r="J220" i="16" s="1"/>
  <c r="AC285" i="16"/>
  <c r="AC251" i="16"/>
  <c r="Q239" i="16"/>
  <c r="Q273" i="16"/>
  <c r="P273" i="16"/>
  <c r="F306" i="16"/>
  <c r="F340" i="16"/>
  <c r="F318" i="16"/>
  <c r="L216" i="16"/>
  <c r="F216" i="16"/>
  <c r="AD216" i="16" s="1"/>
  <c r="AJ216" i="16" s="1"/>
  <c r="AJ219" i="16" s="1"/>
  <c r="AJ220" i="16" s="1"/>
  <c r="F272" i="16"/>
  <c r="F204" i="16"/>
  <c r="F66" i="1"/>
  <c r="F69" i="1" s="1"/>
  <c r="O110" i="16"/>
  <c r="J76" i="16"/>
  <c r="BW318" i="16"/>
  <c r="BE318" i="16"/>
  <c r="CC318" i="16" s="1"/>
  <c r="F285" i="16"/>
  <c r="L285" i="16" s="1"/>
  <c r="AJ285" i="16"/>
  <c r="BH285" i="16" s="1"/>
  <c r="CF285" i="16" s="1"/>
  <c r="BB285" i="16"/>
  <c r="BZ285" i="16" s="1"/>
  <c r="AH219" i="16"/>
  <c r="AH220" i="16" s="1"/>
  <c r="BF213" i="16"/>
  <c r="AZ235" i="16"/>
  <c r="BF315" i="16"/>
  <c r="BF281" i="16"/>
  <c r="CD281" i="16" s="1"/>
  <c r="AH287" i="16"/>
  <c r="BL321" i="16"/>
  <c r="CJ321" i="16" s="1"/>
  <c r="CJ320" i="16"/>
  <c r="I204" i="16"/>
  <c r="AA204" i="16"/>
  <c r="AA207" i="16" s="1"/>
  <c r="AA208" i="16" s="1"/>
  <c r="C238" i="16"/>
  <c r="AA238" i="16" s="1"/>
  <c r="AA241" i="16" s="1"/>
  <c r="AA242" i="16" s="1"/>
  <c r="AA340" i="16"/>
  <c r="AG340" i="16" s="1"/>
  <c r="AG343" i="16" s="1"/>
  <c r="AG344" i="16" s="1"/>
  <c r="I340" i="16"/>
  <c r="I343" i="16" s="1"/>
  <c r="I344" i="16" s="1"/>
  <c r="T337" i="16" s="1"/>
  <c r="AZ251" i="16"/>
  <c r="BX251" i="16" s="1"/>
  <c r="AH251" i="16"/>
  <c r="AH253" i="16" s="1"/>
  <c r="F248" i="16"/>
  <c r="BB248" i="16"/>
  <c r="BZ248" i="16" s="1"/>
  <c r="AD253" i="16"/>
  <c r="BB213" i="16"/>
  <c r="AD219" i="16"/>
  <c r="AD220" i="16" s="1"/>
  <c r="CF235" i="16"/>
  <c r="BB337" i="16"/>
  <c r="BB315" i="16"/>
  <c r="D248" i="16"/>
  <c r="AZ248" i="16"/>
  <c r="BX248" i="16" s="1"/>
  <c r="AB253" i="16"/>
  <c r="BM240" i="16"/>
  <c r="CK240" i="16" s="1"/>
  <c r="BM206" i="16"/>
  <c r="CK206" i="16" s="1"/>
  <c r="AO207" i="16"/>
  <c r="BM207" i="16" s="1"/>
  <c r="CK207" i="16" s="1"/>
  <c r="AO309" i="16"/>
  <c r="CK308" i="16"/>
  <c r="BM308" i="16"/>
  <c r="AY235" i="16"/>
  <c r="AA275" i="16"/>
  <c r="AA276" i="16" s="1"/>
  <c r="AR269" i="16" s="1"/>
  <c r="AY269" i="16"/>
  <c r="AA343" i="16"/>
  <c r="AA344" i="16" s="1"/>
  <c r="AY337" i="16"/>
  <c r="BE303" i="16"/>
  <c r="BE309" i="16" s="1"/>
  <c r="BE310" i="16" s="1"/>
  <c r="CC303" i="16"/>
  <c r="I207" i="16"/>
  <c r="I208" i="16" s="1"/>
  <c r="T201" i="16" s="1"/>
  <c r="I321" i="16"/>
  <c r="I322" i="16" s="1"/>
  <c r="C39" i="16"/>
  <c r="C45" i="16" s="1"/>
  <c r="C144" i="16"/>
  <c r="C150" i="16" s="1"/>
  <c r="N148" i="16"/>
  <c r="S148" i="16" s="1"/>
  <c r="D148" i="16"/>
  <c r="P148" i="16"/>
  <c r="U148" i="16" s="1"/>
  <c r="F148" i="16"/>
  <c r="C298" i="16"/>
  <c r="C264" i="16"/>
  <c r="P62" i="1"/>
  <c r="G53" i="1"/>
  <c r="G61" i="1" s="1"/>
  <c r="C2" i="18" s="1"/>
  <c r="L52" i="1"/>
  <c r="L62" i="1" s="1"/>
  <c r="C3" i="18" s="1"/>
  <c r="C196" i="16"/>
  <c r="C332" i="16"/>
  <c r="K35" i="1"/>
  <c r="D74" i="16"/>
  <c r="D258" i="16"/>
  <c r="D326" i="16"/>
  <c r="D292" i="16"/>
  <c r="D349" i="16"/>
  <c r="D224" i="16"/>
  <c r="D85" i="16"/>
  <c r="D62" i="16"/>
  <c r="D68" i="16" s="1"/>
  <c r="D190" i="16"/>
  <c r="D156" i="16"/>
  <c r="D179" i="16"/>
  <c r="D185" i="16" s="1"/>
  <c r="D167" i="16"/>
  <c r="D28" i="16"/>
  <c r="P156" i="16"/>
  <c r="P5" i="16"/>
  <c r="U5" i="16" s="1"/>
  <c r="K16" i="16"/>
  <c r="P292" i="16"/>
  <c r="M190" i="16"/>
  <c r="H196" i="16"/>
  <c r="M156" i="16"/>
  <c r="M39" i="16"/>
  <c r="R39" i="16" s="1"/>
  <c r="R45" i="16" s="1"/>
  <c r="H50" i="16"/>
  <c r="J137" i="16"/>
  <c r="O125" i="16"/>
  <c r="F8" i="16"/>
  <c r="C31" i="16"/>
  <c r="H31" i="16" s="1"/>
  <c r="H8" i="16"/>
  <c r="H12" i="16" s="1"/>
  <c r="H123" i="16"/>
  <c r="H135" i="16" s="1"/>
  <c r="H159" i="16" s="1"/>
  <c r="H162" i="16" s="1"/>
  <c r="C135" i="16"/>
  <c r="C126" i="16"/>
  <c r="S125" i="16"/>
  <c r="S137" i="16" s="1"/>
  <c r="N137" i="16"/>
  <c r="N167" i="16"/>
  <c r="N39" i="16"/>
  <c r="S39" i="16" s="1"/>
  <c r="I50" i="16"/>
  <c r="N292" i="16"/>
  <c r="N349" i="16"/>
  <c r="I360" i="16"/>
  <c r="J74" i="16"/>
  <c r="J224" i="16"/>
  <c r="J349" i="16"/>
  <c r="J326" i="16"/>
  <c r="J292" i="16"/>
  <c r="J258" i="16"/>
  <c r="J120" i="16"/>
  <c r="J39" i="16"/>
  <c r="J62" i="16"/>
  <c r="J5" i="16"/>
  <c r="E28" i="16"/>
  <c r="J190" i="16"/>
  <c r="J167" i="16"/>
  <c r="J179" i="16"/>
  <c r="J156" i="16"/>
  <c r="I28" i="16"/>
  <c r="J28" i="16"/>
  <c r="F74" i="16"/>
  <c r="F292" i="16"/>
  <c r="F258" i="16"/>
  <c r="F224" i="16"/>
  <c r="F349" i="16"/>
  <c r="F326" i="16"/>
  <c r="F85" i="16"/>
  <c r="F62" i="16"/>
  <c r="F68" i="16" s="1"/>
  <c r="Z10" i="16" s="1"/>
  <c r="Z11" i="16" s="1"/>
  <c r="F179" i="16"/>
  <c r="F185" i="16" s="1"/>
  <c r="Z26" i="16" s="1"/>
  <c r="F167" i="16"/>
  <c r="F156" i="16"/>
  <c r="F190" i="16"/>
  <c r="F28" i="16"/>
  <c r="P28" i="16"/>
  <c r="P120" i="16"/>
  <c r="K132" i="16"/>
  <c r="P258" i="16"/>
  <c r="P74" i="16"/>
  <c r="M167" i="16"/>
  <c r="H16" i="16"/>
  <c r="M5" i="16"/>
  <c r="R5" i="16" s="1"/>
  <c r="R12" i="16" s="1"/>
  <c r="M326" i="16"/>
  <c r="H332" i="16"/>
  <c r="O161" i="16"/>
  <c r="J172" i="16"/>
  <c r="J184" i="16" s="1"/>
  <c r="P8" i="16"/>
  <c r="U8" i="16" s="1"/>
  <c r="R123" i="16"/>
  <c r="R135" i="16" s="1"/>
  <c r="M135" i="16"/>
  <c r="S161" i="16"/>
  <c r="S172" i="16" s="1"/>
  <c r="S184" i="16" s="1"/>
  <c r="N172" i="16"/>
  <c r="N184" i="16" s="1"/>
  <c r="H111" i="16"/>
  <c r="H114" i="16" s="1"/>
  <c r="C114" i="16"/>
  <c r="K66" i="16"/>
  <c r="P66" i="16" s="1"/>
  <c r="U66" i="16" s="1"/>
  <c r="F89" i="16"/>
  <c r="N190" i="16"/>
  <c r="N120" i="16"/>
  <c r="I132" i="16"/>
  <c r="N326" i="16"/>
  <c r="P190" i="16"/>
  <c r="P326" i="16"/>
  <c r="P349" i="16"/>
  <c r="K360" i="16"/>
  <c r="J10" i="16"/>
  <c r="P137" i="16"/>
  <c r="U125" i="16"/>
  <c r="U137" i="16" s="1"/>
  <c r="H185" i="16"/>
  <c r="M179" i="16"/>
  <c r="M120" i="16"/>
  <c r="H132" i="16"/>
  <c r="M258" i="16"/>
  <c r="H264" i="16"/>
  <c r="M74" i="16"/>
  <c r="H80" i="16"/>
  <c r="C101" i="16"/>
  <c r="H101" i="16" s="1"/>
  <c r="M101" i="16" s="1"/>
  <c r="R101" i="16" s="1"/>
  <c r="H89" i="16"/>
  <c r="M89" i="16" s="1"/>
  <c r="R89" i="16" s="1"/>
  <c r="I66" i="16"/>
  <c r="N66" i="16" s="1"/>
  <c r="S66" i="16" s="1"/>
  <c r="D89" i="16"/>
  <c r="R111" i="16"/>
  <c r="R114" i="16" s="1"/>
  <c r="M114" i="16"/>
  <c r="M363" i="16"/>
  <c r="R352" i="16"/>
  <c r="R363" i="16" s="1"/>
  <c r="C34" i="16"/>
  <c r="D329" i="16"/>
  <c r="I329" i="16" s="1"/>
  <c r="I332" i="16" s="1"/>
  <c r="D352" i="16"/>
  <c r="D295" i="16"/>
  <c r="I295" i="16" s="1"/>
  <c r="I298" i="16" s="1"/>
  <c r="D261" i="16"/>
  <c r="I261" i="16" s="1"/>
  <c r="I264" i="16" s="1"/>
  <c r="D123" i="16"/>
  <c r="D77" i="16"/>
  <c r="I77" i="16" s="1"/>
  <c r="I80" i="16" s="1"/>
  <c r="I42" i="16"/>
  <c r="D42" i="16" s="1"/>
  <c r="D111" i="16"/>
  <c r="D193" i="16"/>
  <c r="I193" i="16" s="1"/>
  <c r="I196" i="16" s="1"/>
  <c r="D8" i="16"/>
  <c r="K37" i="1"/>
  <c r="C53" i="16"/>
  <c r="C227" i="16"/>
  <c r="C363" i="16"/>
  <c r="H352" i="16"/>
  <c r="H363" i="16" s="1"/>
  <c r="N156" i="16"/>
  <c r="I85" i="16"/>
  <c r="N62" i="16"/>
  <c r="P329" i="16"/>
  <c r="U329" i="16" s="1"/>
  <c r="P261" i="16"/>
  <c r="U261" i="16" s="1"/>
  <c r="P352" i="16"/>
  <c r="P295" i="16"/>
  <c r="U295" i="16" s="1"/>
  <c r="P159" i="16"/>
  <c r="U159" i="16" s="1"/>
  <c r="P170" i="16"/>
  <c r="U170" i="16" s="1"/>
  <c r="P123" i="16"/>
  <c r="P42" i="16"/>
  <c r="U42" i="16" s="1"/>
  <c r="P53" i="16"/>
  <c r="U53" i="16" s="1"/>
  <c r="P111" i="16"/>
  <c r="P31" i="16"/>
  <c r="U31" i="16" s="1"/>
  <c r="P193" i="16"/>
  <c r="U193" i="16" s="1"/>
  <c r="P77" i="16"/>
  <c r="U77" i="16" s="1"/>
  <c r="P167" i="16"/>
  <c r="K85" i="16"/>
  <c r="P62" i="16"/>
  <c r="N329" i="16"/>
  <c r="S329" i="16" s="1"/>
  <c r="N295" i="16"/>
  <c r="S295" i="16" s="1"/>
  <c r="N352" i="16"/>
  <c r="N261" i="16"/>
  <c r="S261" i="16" s="1"/>
  <c r="N42" i="16"/>
  <c r="S42" i="16" s="1"/>
  <c r="N53" i="16"/>
  <c r="S53" i="16" s="1"/>
  <c r="N159" i="16"/>
  <c r="S159" i="16" s="1"/>
  <c r="N170" i="16"/>
  <c r="S170" i="16" s="1"/>
  <c r="N123" i="16"/>
  <c r="N193" i="16"/>
  <c r="S193" i="16" s="1"/>
  <c r="N111" i="16"/>
  <c r="N31" i="16"/>
  <c r="S31" i="16" s="1"/>
  <c r="N77" i="16"/>
  <c r="S77" i="16" s="1"/>
  <c r="N8" i="16"/>
  <c r="S8" i="16" s="1"/>
  <c r="U161" i="16"/>
  <c r="U172" i="16" s="1"/>
  <c r="U184" i="16" s="1"/>
  <c r="P172" i="16"/>
  <c r="P184" i="16" s="1"/>
  <c r="P179" i="16"/>
  <c r="K185" i="16"/>
  <c r="AB26" i="16" s="1"/>
  <c r="P33" i="16"/>
  <c r="U33" i="16" s="1"/>
  <c r="K55" i="16"/>
  <c r="P55" i="16" s="1"/>
  <c r="U55" i="16" s="1"/>
  <c r="P39" i="16"/>
  <c r="U39" i="16" s="1"/>
  <c r="K50" i="16"/>
  <c r="M28" i="16"/>
  <c r="H34" i="16"/>
  <c r="M62" i="16"/>
  <c r="H85" i="16"/>
  <c r="H68" i="16"/>
  <c r="H298" i="16"/>
  <c r="M292" i="16"/>
  <c r="M349" i="16"/>
  <c r="H360" i="16"/>
  <c r="J55" i="16"/>
  <c r="O55" i="16" s="1"/>
  <c r="T55" i="16" s="1"/>
  <c r="O33" i="16"/>
  <c r="T33" i="16" s="1"/>
  <c r="E194" i="16"/>
  <c r="J194" i="16" s="1"/>
  <c r="O194" i="16" s="1"/>
  <c r="T194" i="16" s="1"/>
  <c r="E183" i="16"/>
  <c r="J183" i="16" s="1"/>
  <c r="O183" i="16" s="1"/>
  <c r="T183" i="16" s="1"/>
  <c r="J148" i="16"/>
  <c r="E66" i="16"/>
  <c r="M230" i="16"/>
  <c r="C97" i="16"/>
  <c r="C91" i="16"/>
  <c r="C360" i="16"/>
  <c r="C355" i="16"/>
  <c r="F352" i="16"/>
  <c r="F295" i="16"/>
  <c r="K295" i="16" s="1"/>
  <c r="K298" i="16" s="1"/>
  <c r="AB36" i="16" s="1"/>
  <c r="F261" i="16"/>
  <c r="K261" i="16" s="1"/>
  <c r="K264" i="16" s="1"/>
  <c r="AB33" i="16" s="1"/>
  <c r="F329" i="16"/>
  <c r="K329" i="16" s="1"/>
  <c r="K332" i="16" s="1"/>
  <c r="AB39" i="16" s="1"/>
  <c r="F111" i="16"/>
  <c r="F193" i="16"/>
  <c r="K193" i="16" s="1"/>
  <c r="K196" i="16" s="1"/>
  <c r="AB27" i="16" s="1"/>
  <c r="F77" i="16"/>
  <c r="K77" i="16" s="1"/>
  <c r="K80" i="16" s="1"/>
  <c r="AB12" i="16" s="1"/>
  <c r="F123" i="16"/>
  <c r="K42" i="16"/>
  <c r="F42" i="16" s="1"/>
  <c r="I185" i="16"/>
  <c r="N179" i="16"/>
  <c r="N5" i="16"/>
  <c r="S5" i="16" s="1"/>
  <c r="S12" i="16" s="1"/>
  <c r="I16" i="16"/>
  <c r="N258" i="16"/>
  <c r="N74" i="16"/>
  <c r="K30" i="1"/>
  <c r="U45" i="16" l="1"/>
  <c r="AF8" i="16" s="1"/>
  <c r="BH207" i="16"/>
  <c r="D15" i="20"/>
  <c r="E15" i="20" s="1"/>
  <c r="B7" i="18"/>
  <c r="N7" i="23" s="1"/>
  <c r="D15" i="19"/>
  <c r="E15" i="19" s="1"/>
  <c r="E7" i="18"/>
  <c r="C15" i="19" s="1"/>
  <c r="BF253" i="16"/>
  <c r="CD253" i="16" s="1"/>
  <c r="AH254" i="16"/>
  <c r="BF254" i="16" s="1"/>
  <c r="CD254" i="16" s="1"/>
  <c r="BH208" i="16"/>
  <c r="CF208" i="16" s="1"/>
  <c r="CF207" i="16"/>
  <c r="O227" i="16"/>
  <c r="T227" i="16" s="1"/>
  <c r="BA340" i="16"/>
  <c r="BA306" i="16"/>
  <c r="BA318" i="16"/>
  <c r="BA238" i="16"/>
  <c r="BA216" i="16"/>
  <c r="BA204" i="16"/>
  <c r="BY204" i="16" s="1"/>
  <c r="BA272" i="16"/>
  <c r="BG204" i="16"/>
  <c r="CE204" i="16" s="1"/>
  <c r="K281" i="16"/>
  <c r="K247" i="16"/>
  <c r="E16" i="16"/>
  <c r="E315" i="16"/>
  <c r="E303" i="16"/>
  <c r="K315" i="16"/>
  <c r="E337" i="16"/>
  <c r="K337" i="16"/>
  <c r="K235" i="16"/>
  <c r="E235" i="16"/>
  <c r="K269" i="16"/>
  <c r="K213" i="16"/>
  <c r="E213" i="16"/>
  <c r="E269" i="16"/>
  <c r="K201" i="16"/>
  <c r="E201" i="16"/>
  <c r="C241" i="16"/>
  <c r="C242" i="16" s="1"/>
  <c r="BZ315" i="16"/>
  <c r="BB321" i="16"/>
  <c r="BB322" i="16" s="1"/>
  <c r="BB253" i="16"/>
  <c r="BZ253" i="16" s="1"/>
  <c r="AD254" i="16"/>
  <c r="AH288" i="16"/>
  <c r="BF288" i="16" s="1"/>
  <c r="CD288" i="16" s="1"/>
  <c r="BF287" i="16"/>
  <c r="CD287" i="16" s="1"/>
  <c r="F238" i="16"/>
  <c r="AD238" i="16" s="1"/>
  <c r="AD241" i="16" s="1"/>
  <c r="AD242" i="16" s="1"/>
  <c r="L204" i="16"/>
  <c r="AD204" i="16"/>
  <c r="AD207" i="16" s="1"/>
  <c r="AD208" i="16" s="1"/>
  <c r="AD318" i="16"/>
  <c r="AD321" i="16" s="1"/>
  <c r="AD322" i="16" s="1"/>
  <c r="L318" i="16"/>
  <c r="AJ318" i="16" s="1"/>
  <c r="AJ321" i="16" s="1"/>
  <c r="AJ322" i="16" s="1"/>
  <c r="AU315" i="16" s="1"/>
  <c r="AB38" i="16" s="1"/>
  <c r="AO273" i="16"/>
  <c r="Q275" i="16"/>
  <c r="BZ238" i="16"/>
  <c r="BH238" i="16"/>
  <c r="F309" i="16"/>
  <c r="F310" i="16" s="1"/>
  <c r="AR315" i="16"/>
  <c r="CC213" i="16"/>
  <c r="BE219" i="16"/>
  <c r="BZ269" i="16"/>
  <c r="BB275" i="16"/>
  <c r="F287" i="16"/>
  <c r="F288" i="16" s="1"/>
  <c r="BF208" i="16"/>
  <c r="CD208" i="16" s="1"/>
  <c r="CD207" i="16"/>
  <c r="AB306" i="16"/>
  <c r="AB309" i="16" s="1"/>
  <c r="AB310" i="16" s="1"/>
  <c r="J306" i="16"/>
  <c r="BX216" i="16"/>
  <c r="BF216" i="16"/>
  <c r="CD216" i="16" s="1"/>
  <c r="BX318" i="16"/>
  <c r="BF318" i="16"/>
  <c r="CD318" i="16" s="1"/>
  <c r="BG213" i="16"/>
  <c r="BG269" i="16"/>
  <c r="BA303" i="16"/>
  <c r="BA309" i="16" s="1"/>
  <c r="BA310" i="16" s="1"/>
  <c r="BY303" i="16"/>
  <c r="BG281" i="16"/>
  <c r="CE281" i="16" s="1"/>
  <c r="I253" i="16"/>
  <c r="I254" i="16" s="1"/>
  <c r="T246" i="16" s="1"/>
  <c r="BE253" i="16"/>
  <c r="CC253" i="16" s="1"/>
  <c r="AG254" i="16"/>
  <c r="BE254" i="16" s="1"/>
  <c r="CC254" i="16" s="1"/>
  <c r="BE275" i="16"/>
  <c r="CC269" i="16"/>
  <c r="AO321" i="16"/>
  <c r="BM287" i="16"/>
  <c r="CK287" i="16" s="1"/>
  <c r="D287" i="16"/>
  <c r="D288" i="16" s="1"/>
  <c r="U281" i="16" s="1"/>
  <c r="BZ235" i="16"/>
  <c r="BB241" i="16"/>
  <c r="BX337" i="16"/>
  <c r="AZ343" i="16"/>
  <c r="AZ344" i="16" s="1"/>
  <c r="E248" i="16"/>
  <c r="AC253" i="16"/>
  <c r="BA248" i="16"/>
  <c r="BY248" i="16" s="1"/>
  <c r="AG288" i="16"/>
  <c r="BE288" i="16" s="1"/>
  <c r="CC288" i="16" s="1"/>
  <c r="BE287" i="16"/>
  <c r="CC287" i="16" s="1"/>
  <c r="CC241" i="16"/>
  <c r="BE242" i="16"/>
  <c r="AY288" i="16"/>
  <c r="BW288" i="16" s="1"/>
  <c r="BW337" i="16"/>
  <c r="BW343" i="16" s="1"/>
  <c r="BW344" i="16" s="1"/>
  <c r="AY343" i="16"/>
  <c r="AY344" i="16" s="1"/>
  <c r="AY241" i="16"/>
  <c r="BW235" i="16"/>
  <c r="BM309" i="16"/>
  <c r="CK309" i="16"/>
  <c r="AB254" i="16"/>
  <c r="AZ253" i="16"/>
  <c r="BX253" i="16" s="1"/>
  <c r="AG204" i="16"/>
  <c r="AG207" i="16" s="1"/>
  <c r="AG208" i="16" s="1"/>
  <c r="AR201" i="16" s="1"/>
  <c r="I238" i="16"/>
  <c r="BX235" i="16"/>
  <c r="AZ241" i="16"/>
  <c r="L272" i="16"/>
  <c r="AJ272" i="16" s="1"/>
  <c r="AJ275" i="16" s="1"/>
  <c r="AJ276" i="16" s="1"/>
  <c r="AD272" i="16"/>
  <c r="AD275" i="16" s="1"/>
  <c r="AD276" i="16" s="1"/>
  <c r="AD340" i="16"/>
  <c r="L340" i="16"/>
  <c r="L343" i="16" s="1"/>
  <c r="L344" i="16" s="1"/>
  <c r="Q241" i="16"/>
  <c r="AO239" i="16"/>
  <c r="U213" i="16"/>
  <c r="BH272" i="16"/>
  <c r="CF272" i="16" s="1"/>
  <c r="BZ272" i="16"/>
  <c r="BZ340" i="16"/>
  <c r="BH340" i="16"/>
  <c r="CF340" i="16" s="1"/>
  <c r="F219" i="16"/>
  <c r="F220" i="16" s="1"/>
  <c r="L282" i="16"/>
  <c r="L287" i="16" s="1"/>
  <c r="L288" i="16" s="1"/>
  <c r="W281" i="16" s="1"/>
  <c r="Z35" i="16" s="1"/>
  <c r="L248" i="16"/>
  <c r="F144" i="16"/>
  <c r="F150" i="16" s="1"/>
  <c r="F39" i="16"/>
  <c r="F45" i="16" s="1"/>
  <c r="Z8" i="16" s="1"/>
  <c r="BW315" i="16"/>
  <c r="BW321" i="16" s="1"/>
  <c r="BW322" i="16" s="1"/>
  <c r="AY321" i="16"/>
  <c r="AY322" i="16" s="1"/>
  <c r="BE208" i="16"/>
  <c r="CC208" i="16" s="1"/>
  <c r="CC207" i="16"/>
  <c r="N76" i="16"/>
  <c r="S110" i="16"/>
  <c r="S76" i="16" s="1"/>
  <c r="BX315" i="16"/>
  <c r="BX321" i="16" s="1"/>
  <c r="BX322" i="16" s="1"/>
  <c r="AZ321" i="16"/>
  <c r="AZ322" i="16" s="1"/>
  <c r="BN239" i="16"/>
  <c r="CL239" i="16" s="1"/>
  <c r="AP241" i="16"/>
  <c r="BN241" i="16" s="1"/>
  <c r="CL241" i="16" s="1"/>
  <c r="AB204" i="16"/>
  <c r="AB207" i="16" s="1"/>
  <c r="AB208" i="16" s="1"/>
  <c r="J204" i="16"/>
  <c r="D238" i="16"/>
  <c r="AB238" i="16" s="1"/>
  <c r="AB241" i="16" s="1"/>
  <c r="AB242" i="16" s="1"/>
  <c r="AB318" i="16"/>
  <c r="AB321" i="16" s="1"/>
  <c r="AB322" i="16" s="1"/>
  <c r="J318" i="16"/>
  <c r="AH318" i="16" s="1"/>
  <c r="AH321" i="16" s="1"/>
  <c r="AH322" i="16" s="1"/>
  <c r="BF272" i="16"/>
  <c r="BX272" i="16"/>
  <c r="BX340" i="16"/>
  <c r="BF340" i="16"/>
  <c r="CD340" i="16" s="1"/>
  <c r="BA213" i="16"/>
  <c r="BA269" i="16"/>
  <c r="BG337" i="16"/>
  <c r="BG247" i="16"/>
  <c r="CE247" i="16" s="1"/>
  <c r="T315" i="16"/>
  <c r="BB207" i="16"/>
  <c r="BZ201" i="16"/>
  <c r="BX201" i="16"/>
  <c r="AZ207" i="16"/>
  <c r="BG202" i="16"/>
  <c r="BG207" i="16" s="1"/>
  <c r="AI236" i="16"/>
  <c r="CF337" i="16"/>
  <c r="BH275" i="16"/>
  <c r="CF269" i="16"/>
  <c r="AG306" i="16"/>
  <c r="AG309" i="16" s="1"/>
  <c r="AG310" i="16" s="1"/>
  <c r="I309" i="16"/>
  <c r="I310" i="16" s="1"/>
  <c r="T303" i="16" s="1"/>
  <c r="L251" i="16"/>
  <c r="F251" i="16" s="1"/>
  <c r="F253" i="16" s="1"/>
  <c r="F254" i="16" s="1"/>
  <c r="BH251" i="16"/>
  <c r="CF251" i="16" s="1"/>
  <c r="F22" i="16"/>
  <c r="Z6" i="16" s="1"/>
  <c r="AR337" i="16"/>
  <c r="AU213" i="16"/>
  <c r="AB29" i="16" s="1"/>
  <c r="CD213" i="16"/>
  <c r="BF219" i="16"/>
  <c r="T110" i="16"/>
  <c r="T76" i="16" s="1"/>
  <c r="O76" i="16"/>
  <c r="L306" i="16"/>
  <c r="AD306" i="16"/>
  <c r="AD309" i="16" s="1"/>
  <c r="AD310" i="16" s="1"/>
  <c r="BA251" i="16"/>
  <c r="BY251" i="16" s="1"/>
  <c r="AI251" i="16"/>
  <c r="J321" i="16"/>
  <c r="J322" i="16" s="1"/>
  <c r="U315" i="16" s="1"/>
  <c r="BZ318" i="16"/>
  <c r="BH318" i="16"/>
  <c r="CF318" i="16" s="1"/>
  <c r="F275" i="16"/>
  <c r="F276" i="16" s="1"/>
  <c r="F207" i="16"/>
  <c r="F208" i="16" s="1"/>
  <c r="F321" i="16"/>
  <c r="F322" i="16" s="1"/>
  <c r="BP303" i="16"/>
  <c r="BB309" i="16"/>
  <c r="BB310" i="16" s="1"/>
  <c r="CD337" i="16"/>
  <c r="CD343" i="16" s="1"/>
  <c r="CD344" i="16" s="1"/>
  <c r="BF343" i="16"/>
  <c r="BF344" i="16" s="1"/>
  <c r="AS213" i="16"/>
  <c r="CC309" i="16"/>
  <c r="CC310" i="16" s="1"/>
  <c r="CN303" i="16" s="1"/>
  <c r="AB272" i="16"/>
  <c r="AB275" i="16" s="1"/>
  <c r="AB276" i="16" s="1"/>
  <c r="J272" i="16"/>
  <c r="AH272" i="16" s="1"/>
  <c r="AH275" i="16" s="1"/>
  <c r="AH276" i="16" s="1"/>
  <c r="J340" i="16"/>
  <c r="AB340" i="16"/>
  <c r="BX306" i="16"/>
  <c r="BX309" i="16" s="1"/>
  <c r="BX310" i="16" s="1"/>
  <c r="BF306" i="16"/>
  <c r="CD306" i="16" s="1"/>
  <c r="CD309" i="16" s="1"/>
  <c r="CD310" i="16" s="1"/>
  <c r="BA201" i="16"/>
  <c r="BA235" i="16"/>
  <c r="BA337" i="16"/>
  <c r="BA315" i="16"/>
  <c r="BE321" i="16"/>
  <c r="BE322" i="16" s="1"/>
  <c r="BP315" i="16" s="1"/>
  <c r="CC315" i="16"/>
  <c r="CC321" i="16" s="1"/>
  <c r="CC322" i="16" s="1"/>
  <c r="CN315" i="16" s="1"/>
  <c r="BW201" i="16"/>
  <c r="AY207" i="16"/>
  <c r="BM321" i="16"/>
  <c r="CK321" i="16" s="1"/>
  <c r="CK320" i="16"/>
  <c r="CF315" i="16"/>
  <c r="CF321" i="16" s="1"/>
  <c r="CF322" i="16" s="1"/>
  <c r="BH321" i="16"/>
  <c r="BH322" i="16" s="1"/>
  <c r="BS315" i="16" s="1"/>
  <c r="AD38" i="16" s="1"/>
  <c r="T269" i="16"/>
  <c r="AR213" i="16"/>
  <c r="D22" i="16"/>
  <c r="E318" i="16"/>
  <c r="E306" i="16"/>
  <c r="E340" i="16"/>
  <c r="K216" i="16"/>
  <c r="E204" i="16"/>
  <c r="E216" i="16"/>
  <c r="AC216" i="16" s="1"/>
  <c r="AI216" i="16" s="1"/>
  <c r="AI219" i="16" s="1"/>
  <c r="AI220" i="16" s="1"/>
  <c r="E272" i="16"/>
  <c r="AY275" i="16"/>
  <c r="BW269" i="16"/>
  <c r="BZ337" i="16"/>
  <c r="BZ343" i="16" s="1"/>
  <c r="BZ344" i="16" s="1"/>
  <c r="BB343" i="16"/>
  <c r="BB344" i="16" s="1"/>
  <c r="BZ213" i="16"/>
  <c r="BB219" i="16"/>
  <c r="J251" i="16"/>
  <c r="D251" i="16" s="1"/>
  <c r="D253" i="16" s="1"/>
  <c r="D254" i="16" s="1"/>
  <c r="BF251" i="16"/>
  <c r="CD251" i="16" s="1"/>
  <c r="BF321" i="16"/>
  <c r="BF322" i="16" s="1"/>
  <c r="BQ315" i="16" s="1"/>
  <c r="CD315" i="16"/>
  <c r="CD321" i="16" s="1"/>
  <c r="CD322" i="16" s="1"/>
  <c r="CO315" i="16" s="1"/>
  <c r="AN273" i="16"/>
  <c r="P275" i="16"/>
  <c r="E285" i="16"/>
  <c r="K285" i="16" s="1"/>
  <c r="BA285" i="16"/>
  <c r="BY285" i="16" s="1"/>
  <c r="AI285" i="16"/>
  <c r="BG285" i="16" s="1"/>
  <c r="CE285" i="16" s="1"/>
  <c r="J207" i="16"/>
  <c r="J208" i="16" s="1"/>
  <c r="U201" i="16" s="1"/>
  <c r="D241" i="16"/>
  <c r="D242" i="16" s="1"/>
  <c r="J343" i="16"/>
  <c r="J344" i="16" s="1"/>
  <c r="U337" i="16" s="1"/>
  <c r="D39" i="16"/>
  <c r="D45" i="16" s="1"/>
  <c r="D144" i="16"/>
  <c r="D150" i="16" s="1"/>
  <c r="BZ216" i="16"/>
  <c r="BH216" i="16"/>
  <c r="CF216" i="16" s="1"/>
  <c r="BH306" i="16"/>
  <c r="CF306" i="16" s="1"/>
  <c r="CF309" i="16" s="1"/>
  <c r="CF310" i="16" s="1"/>
  <c r="BZ306" i="16"/>
  <c r="BZ309" i="16" s="1"/>
  <c r="BZ310" i="16" s="1"/>
  <c r="CQ303" i="16" s="1"/>
  <c r="AF37" i="16" s="1"/>
  <c r="L219" i="16"/>
  <c r="L220" i="16" s="1"/>
  <c r="F241" i="16"/>
  <c r="F242" i="16" s="1"/>
  <c r="L321" i="16"/>
  <c r="L322" i="16" s="1"/>
  <c r="W315" i="16" s="1"/>
  <c r="Z38" i="16" s="1"/>
  <c r="F343" i="16"/>
  <c r="F344" i="16" s="1"/>
  <c r="AR303" i="16"/>
  <c r="AJ287" i="16"/>
  <c r="CF213" i="16"/>
  <c r="AD288" i="16"/>
  <c r="BB287" i="16"/>
  <c r="BZ287" i="16" s="1"/>
  <c r="AZ219" i="16"/>
  <c r="BX213" i="16"/>
  <c r="BX238" i="16"/>
  <c r="BF238" i="16"/>
  <c r="CD238" i="16" s="1"/>
  <c r="BG235" i="16"/>
  <c r="BG315" i="16"/>
  <c r="BG303" i="16"/>
  <c r="CE303" i="16"/>
  <c r="AZ287" i="16"/>
  <c r="BX287" i="16" s="1"/>
  <c r="AB288" i="16"/>
  <c r="AJ254" i="16"/>
  <c r="BH254" i="16" s="1"/>
  <c r="CF254" i="16" s="1"/>
  <c r="BH253" i="16"/>
  <c r="CF253" i="16" s="1"/>
  <c r="BL239" i="16"/>
  <c r="CJ239" i="16" s="1"/>
  <c r="AN241" i="16"/>
  <c r="BL241" i="16" s="1"/>
  <c r="CJ241" i="16" s="1"/>
  <c r="CD235" i="16"/>
  <c r="BF241" i="16"/>
  <c r="BN273" i="16"/>
  <c r="CL273" i="16" s="1"/>
  <c r="AP275" i="16"/>
  <c r="BN275" i="16" s="1"/>
  <c r="CL275" i="16" s="1"/>
  <c r="AR247" i="16"/>
  <c r="BP247" i="16" s="1"/>
  <c r="CN247" i="16" s="1"/>
  <c r="AY254" i="16"/>
  <c r="BW254" i="16" s="1"/>
  <c r="E282" i="16"/>
  <c r="E287" i="16" s="1"/>
  <c r="E288" i="16" s="1"/>
  <c r="BA282" i="16"/>
  <c r="BY282" i="16" s="1"/>
  <c r="AC287" i="16"/>
  <c r="CC337" i="16"/>
  <c r="CC343" i="16" s="1"/>
  <c r="CC344" i="16" s="1"/>
  <c r="BE343" i="16"/>
  <c r="BE344" i="16" s="1"/>
  <c r="BW213" i="16"/>
  <c r="AY219" i="16"/>
  <c r="CK342" i="16"/>
  <c r="BM343" i="16"/>
  <c r="CK343" i="16" s="1"/>
  <c r="O20" i="16"/>
  <c r="T20" i="16" s="1"/>
  <c r="E20" i="16"/>
  <c r="E22" i="16" s="1"/>
  <c r="Y6" i="16" s="1"/>
  <c r="AZ309" i="16"/>
  <c r="AZ310" i="16" s="1"/>
  <c r="AZ275" i="16"/>
  <c r="BX269" i="16"/>
  <c r="S45" i="16"/>
  <c r="O148" i="16"/>
  <c r="T148" i="16" s="1"/>
  <c r="E148" i="16"/>
  <c r="D11" i="19"/>
  <c r="I11" i="19" s="1"/>
  <c r="D11" i="20"/>
  <c r="D10" i="19"/>
  <c r="I10" i="19" s="1"/>
  <c r="D10" i="20"/>
  <c r="C15" i="20"/>
  <c r="I68" i="16"/>
  <c r="H138" i="16"/>
  <c r="C230" i="16"/>
  <c r="H227" i="16"/>
  <c r="U12" i="16"/>
  <c r="AF5" i="16" s="1"/>
  <c r="C56" i="16"/>
  <c r="H53" i="16"/>
  <c r="H56" i="16" s="1"/>
  <c r="C5" i="18"/>
  <c r="C4" i="18"/>
  <c r="C6" i="18"/>
  <c r="E3" i="18"/>
  <c r="B3" i="18"/>
  <c r="N3" i="23" s="1"/>
  <c r="E2" i="18"/>
  <c r="B2" i="18"/>
  <c r="N2" i="23" s="1"/>
  <c r="C366" i="16"/>
  <c r="C103" i="16"/>
  <c r="H355" i="16"/>
  <c r="H366" i="16"/>
  <c r="K68" i="16"/>
  <c r="AB10" i="16" s="1"/>
  <c r="AB11" i="16" s="1"/>
  <c r="H126" i="16"/>
  <c r="S74" i="16"/>
  <c r="S80" i="16" s="1"/>
  <c r="N80" i="16"/>
  <c r="N185" i="16"/>
  <c r="S179" i="16"/>
  <c r="S185" i="16" s="1"/>
  <c r="K123" i="16"/>
  <c r="F135" i="16"/>
  <c r="F126" i="16"/>
  <c r="Z19" i="16" s="1"/>
  <c r="F227" i="16"/>
  <c r="J66" i="16"/>
  <c r="O66" i="16" s="1"/>
  <c r="T66" i="16" s="1"/>
  <c r="E89" i="16"/>
  <c r="M355" i="16"/>
  <c r="R349" i="16"/>
  <c r="M360" i="16"/>
  <c r="M366" i="16" s="1"/>
  <c r="M85" i="16"/>
  <c r="H97" i="16"/>
  <c r="H91" i="16"/>
  <c r="N230" i="16"/>
  <c r="U123" i="16"/>
  <c r="U135" i="16" s="1"/>
  <c r="P135" i="16"/>
  <c r="E8" i="16"/>
  <c r="D31" i="16"/>
  <c r="D34" i="16" s="1"/>
  <c r="D12" i="16"/>
  <c r="I8" i="16"/>
  <c r="D363" i="16"/>
  <c r="I352" i="16"/>
  <c r="R74" i="16"/>
  <c r="R80" i="16" s="1"/>
  <c r="M80" i="16"/>
  <c r="P360" i="16"/>
  <c r="U349" i="16"/>
  <c r="P355" i="16"/>
  <c r="AD41" i="16" s="1"/>
  <c r="U190" i="16"/>
  <c r="U196" i="16" s="1"/>
  <c r="AF27" i="16" s="1"/>
  <c r="P196" i="16"/>
  <c r="AD27" i="16" s="1"/>
  <c r="M332" i="16"/>
  <c r="R326" i="16"/>
  <c r="R332" i="16" s="1"/>
  <c r="P264" i="16"/>
  <c r="AD33" i="16" s="1"/>
  <c r="U258" i="16"/>
  <c r="U264" i="16" s="1"/>
  <c r="AF33" i="16" s="1"/>
  <c r="F196" i="16"/>
  <c r="Z27" i="16" s="1"/>
  <c r="F360" i="16"/>
  <c r="F355" i="16"/>
  <c r="Z41" i="16" s="1"/>
  <c r="N28" i="16"/>
  <c r="O190" i="16"/>
  <c r="O39" i="16"/>
  <c r="T39" i="16" s="1"/>
  <c r="J50" i="16"/>
  <c r="O326" i="16"/>
  <c r="O224" i="16"/>
  <c r="N45" i="16"/>
  <c r="M162" i="16"/>
  <c r="R156" i="16"/>
  <c r="R162" i="16" s="1"/>
  <c r="P12" i="16"/>
  <c r="AD5" i="16" s="1"/>
  <c r="D355" i="16"/>
  <c r="D360" i="16"/>
  <c r="R292" i="16"/>
  <c r="R298" i="16" s="1"/>
  <c r="M298" i="16"/>
  <c r="R62" i="16"/>
  <c r="R68" i="16" s="1"/>
  <c r="M68" i="16"/>
  <c r="S111" i="16"/>
  <c r="S114" i="16" s="1"/>
  <c r="N114" i="16"/>
  <c r="P68" i="16"/>
  <c r="AD10" i="16" s="1"/>
  <c r="AD11" i="16" s="1"/>
  <c r="U62" i="16"/>
  <c r="U68" i="16" s="1"/>
  <c r="AF10" i="16" s="1"/>
  <c r="AF11" i="16" s="1"/>
  <c r="U167" i="16"/>
  <c r="U173" i="16" s="1"/>
  <c r="AF25" i="16" s="1"/>
  <c r="P173" i="16"/>
  <c r="AD25" i="16" s="1"/>
  <c r="U111" i="16"/>
  <c r="U114" i="16" s="1"/>
  <c r="AF16" i="16" s="1"/>
  <c r="P114" i="16"/>
  <c r="AD16" i="16" s="1"/>
  <c r="U352" i="16"/>
  <c r="U363" i="16" s="1"/>
  <c r="P363" i="16"/>
  <c r="S62" i="16"/>
  <c r="S68" i="16" s="1"/>
  <c r="N68" i="16"/>
  <c r="I123" i="16"/>
  <c r="D135" i="16"/>
  <c r="D126" i="16"/>
  <c r="D227" i="16"/>
  <c r="R120" i="16"/>
  <c r="M126" i="16"/>
  <c r="M132" i="16"/>
  <c r="M138" i="16" s="1"/>
  <c r="U326" i="16"/>
  <c r="U332" i="16" s="1"/>
  <c r="AF39" i="16" s="1"/>
  <c r="P332" i="16"/>
  <c r="AD39" i="16" s="1"/>
  <c r="F101" i="16"/>
  <c r="K101" i="16" s="1"/>
  <c r="P101" i="16" s="1"/>
  <c r="U101" i="16" s="1"/>
  <c r="K89" i="16"/>
  <c r="P89" i="16" s="1"/>
  <c r="U89" i="16" s="1"/>
  <c r="T161" i="16"/>
  <c r="T172" i="16" s="1"/>
  <c r="T184" i="16" s="1"/>
  <c r="O172" i="16"/>
  <c r="O184" i="16" s="1"/>
  <c r="M12" i="16"/>
  <c r="U28" i="16"/>
  <c r="P34" i="16"/>
  <c r="F97" i="16"/>
  <c r="F91" i="16"/>
  <c r="Z13" i="16" s="1"/>
  <c r="Z14" i="16" s="1"/>
  <c r="O156" i="16"/>
  <c r="O120" i="16"/>
  <c r="J132" i="16"/>
  <c r="J360" i="16"/>
  <c r="O349" i="16"/>
  <c r="O74" i="16"/>
  <c r="S292" i="16"/>
  <c r="S298" i="16" s="1"/>
  <c r="N298" i="16"/>
  <c r="O137" i="16"/>
  <c r="T125" i="16"/>
  <c r="T137" i="16" s="1"/>
  <c r="M50" i="16"/>
  <c r="P298" i="16"/>
  <c r="AD36" i="16" s="1"/>
  <c r="U292" i="16"/>
  <c r="U298" i="16" s="1"/>
  <c r="AF36" i="16" s="1"/>
  <c r="D97" i="16"/>
  <c r="D91" i="16"/>
  <c r="D298" i="16"/>
  <c r="P50" i="16"/>
  <c r="O8" i="16"/>
  <c r="T8" i="16" s="1"/>
  <c r="N363" i="16"/>
  <c r="S352" i="16"/>
  <c r="S363" i="16" s="1"/>
  <c r="I97" i="16"/>
  <c r="N85" i="16"/>
  <c r="I111" i="16"/>
  <c r="I114" i="16" s="1"/>
  <c r="D114" i="16"/>
  <c r="I89" i="16"/>
  <c r="N89" i="16" s="1"/>
  <c r="S89" i="16" s="1"/>
  <c r="D101" i="16"/>
  <c r="I101" i="16" s="1"/>
  <c r="N101" i="16" s="1"/>
  <c r="S101" i="16" s="1"/>
  <c r="R258" i="16"/>
  <c r="R264" i="16" s="1"/>
  <c r="M264" i="16"/>
  <c r="M185" i="16"/>
  <c r="R179" i="16"/>
  <c r="R185" i="16" s="1"/>
  <c r="S120" i="16"/>
  <c r="N126" i="16"/>
  <c r="N132" i="16"/>
  <c r="M16" i="16"/>
  <c r="R16" i="16" s="1"/>
  <c r="R22" i="16" s="1"/>
  <c r="H144" i="16"/>
  <c r="H150" i="16" s="1"/>
  <c r="H22" i="16"/>
  <c r="U74" i="16"/>
  <c r="U80" i="16" s="1"/>
  <c r="AF12" i="16" s="1"/>
  <c r="P80" i="16"/>
  <c r="AD12" i="16" s="1"/>
  <c r="F264" i="16"/>
  <c r="Z33" i="16" s="1"/>
  <c r="F80" i="16"/>
  <c r="Z12" i="16" s="1"/>
  <c r="O179" i="16"/>
  <c r="J185" i="16"/>
  <c r="AA26" i="16" s="1"/>
  <c r="J16" i="16"/>
  <c r="O5" i="16"/>
  <c r="T5" i="16" s="1"/>
  <c r="O258" i="16"/>
  <c r="S167" i="16"/>
  <c r="S173" i="16" s="1"/>
  <c r="N173" i="16"/>
  <c r="C159" i="16"/>
  <c r="C138" i="16"/>
  <c r="F31" i="16"/>
  <c r="K8" i="16"/>
  <c r="F12" i="16"/>
  <c r="Z5" i="16" s="1"/>
  <c r="H45" i="16"/>
  <c r="P162" i="16"/>
  <c r="AD24" i="16" s="1"/>
  <c r="U156" i="16"/>
  <c r="U162" i="16" s="1"/>
  <c r="AF24" i="16" s="1"/>
  <c r="D332" i="16"/>
  <c r="D80" i="16"/>
  <c r="I144" i="16"/>
  <c r="I150" i="16" s="1"/>
  <c r="N16" i="16"/>
  <c r="S16" i="16" s="1"/>
  <c r="S22" i="16" s="1"/>
  <c r="I22" i="16"/>
  <c r="O329" i="16"/>
  <c r="T329" i="16" s="1"/>
  <c r="O352" i="16"/>
  <c r="O261" i="16"/>
  <c r="T261" i="16" s="1"/>
  <c r="O295" i="16"/>
  <c r="T295" i="16" s="1"/>
  <c r="O53" i="16"/>
  <c r="T53" i="16" s="1"/>
  <c r="O159" i="16"/>
  <c r="T159" i="16" s="1"/>
  <c r="O170" i="16"/>
  <c r="T170" i="16" s="1"/>
  <c r="O123" i="16"/>
  <c r="O42" i="16"/>
  <c r="T42" i="16" s="1"/>
  <c r="O193" i="16"/>
  <c r="T193" i="16" s="1"/>
  <c r="O77" i="16"/>
  <c r="T77" i="16" s="1"/>
  <c r="O111" i="16"/>
  <c r="O31" i="16"/>
  <c r="T31" i="16" s="1"/>
  <c r="N264" i="16"/>
  <c r="S258" i="16"/>
  <c r="S264" i="16" s="1"/>
  <c r="N12" i="16"/>
  <c r="F53" i="16"/>
  <c r="K111" i="16"/>
  <c r="K114" i="16" s="1"/>
  <c r="AB16" i="16" s="1"/>
  <c r="F114" i="16"/>
  <c r="Z16" i="16" s="1"/>
  <c r="F363" i="16"/>
  <c r="K352" i="16"/>
  <c r="R230" i="16"/>
  <c r="R28" i="16"/>
  <c r="M34" i="16"/>
  <c r="R34" i="16" s="1"/>
  <c r="P45" i="16"/>
  <c r="AD8" i="16" s="1"/>
  <c r="U179" i="16"/>
  <c r="U185" i="16" s="1"/>
  <c r="AF26" i="16" s="1"/>
  <c r="P185" i="16"/>
  <c r="AD26" i="16" s="1"/>
  <c r="S123" i="16"/>
  <c r="S135" i="16" s="1"/>
  <c r="N135" i="16"/>
  <c r="K97" i="16"/>
  <c r="P85" i="16"/>
  <c r="P230" i="16"/>
  <c r="AD30" i="16" s="1"/>
  <c r="N162" i="16"/>
  <c r="S156" i="16"/>
  <c r="S162" i="16" s="1"/>
  <c r="E352" i="16"/>
  <c r="E295" i="16"/>
  <c r="J295" i="16" s="1"/>
  <c r="J298" i="16" s="1"/>
  <c r="AA36" i="16" s="1"/>
  <c r="E261" i="16"/>
  <c r="J261" i="16" s="1"/>
  <c r="J264" i="16" s="1"/>
  <c r="AA33" i="16" s="1"/>
  <c r="E329" i="16"/>
  <c r="J329" i="16" s="1"/>
  <c r="J332" i="16" s="1"/>
  <c r="AA39" i="16" s="1"/>
  <c r="E77" i="16"/>
  <c r="J77" i="16" s="1"/>
  <c r="J80" i="16" s="1"/>
  <c r="AA12" i="16" s="1"/>
  <c r="E111" i="16"/>
  <c r="E193" i="16"/>
  <c r="J193" i="16" s="1"/>
  <c r="J196" i="16" s="1"/>
  <c r="AA27" i="16" s="1"/>
  <c r="E123" i="16"/>
  <c r="J42" i="16"/>
  <c r="E42" i="16" s="1"/>
  <c r="D53" i="16"/>
  <c r="S326" i="16"/>
  <c r="S332" i="16" s="1"/>
  <c r="N332" i="16"/>
  <c r="N196" i="16"/>
  <c r="S190" i="16"/>
  <c r="S196" i="16" s="1"/>
  <c r="R167" i="16"/>
  <c r="R173" i="16" s="1"/>
  <c r="M173" i="16"/>
  <c r="U120" i="16"/>
  <c r="P132" i="16"/>
  <c r="P126" i="16"/>
  <c r="AD19" i="16" s="1"/>
  <c r="F34" i="16"/>
  <c r="Z7" i="16" s="1"/>
  <c r="F332" i="16"/>
  <c r="Z39" i="16" s="1"/>
  <c r="F298" i="16"/>
  <c r="Z36" i="16" s="1"/>
  <c r="O28" i="16"/>
  <c r="O167" i="16"/>
  <c r="O62" i="16"/>
  <c r="J85" i="16"/>
  <c r="O292" i="16"/>
  <c r="N355" i="16"/>
  <c r="N360" i="16"/>
  <c r="N366" i="16" s="1"/>
  <c r="S349" i="16"/>
  <c r="N50" i="16"/>
  <c r="M45" i="16"/>
  <c r="R190" i="16"/>
  <c r="R196" i="16" s="1"/>
  <c r="M196" i="16"/>
  <c r="P16" i="16"/>
  <c r="U16" i="16" s="1"/>
  <c r="U22" i="16" s="1"/>
  <c r="AF6" i="16" s="1"/>
  <c r="K144" i="16"/>
  <c r="K150" i="16" s="1"/>
  <c r="AB21" i="16" s="1"/>
  <c r="AB22" i="16" s="1"/>
  <c r="K22" i="16"/>
  <c r="AB6" i="16" s="1"/>
  <c r="D196" i="16"/>
  <c r="D264" i="16"/>
  <c r="E74" i="16"/>
  <c r="E224" i="16"/>
  <c r="E349" i="16"/>
  <c r="E292" i="16"/>
  <c r="E258" i="16"/>
  <c r="E326" i="16"/>
  <c r="E85" i="16"/>
  <c r="E62" i="16"/>
  <c r="E68" i="16" s="1"/>
  <c r="Y10" i="16" s="1"/>
  <c r="Y11" i="16" s="1"/>
  <c r="E167" i="16"/>
  <c r="E179" i="16"/>
  <c r="E185" i="16" s="1"/>
  <c r="Y26" i="16" s="1"/>
  <c r="E156" i="16"/>
  <c r="E190" i="16"/>
  <c r="C12" i="16"/>
  <c r="E11" i="19" l="1"/>
  <c r="I15" i="20"/>
  <c r="D32" i="22"/>
  <c r="D42" i="22" s="1"/>
  <c r="D32" i="21"/>
  <c r="D42" i="21" s="1"/>
  <c r="R7" i="23"/>
  <c r="P7" i="23"/>
  <c r="R3" i="23"/>
  <c r="P3" i="23"/>
  <c r="P2" i="23"/>
  <c r="R2" i="23"/>
  <c r="CO303" i="16"/>
  <c r="I15" i="19"/>
  <c r="BH309" i="16"/>
  <c r="BH310" i="16" s="1"/>
  <c r="BH219" i="16"/>
  <c r="AR281" i="16"/>
  <c r="BP281" i="16" s="1"/>
  <c r="CN281" i="16" s="1"/>
  <c r="Z22" i="16"/>
  <c r="Z21" i="16"/>
  <c r="BW219" i="16"/>
  <c r="AY220" i="16"/>
  <c r="BA287" i="16"/>
  <c r="BY287" i="16" s="1"/>
  <c r="AC288" i="16"/>
  <c r="BB288" i="16"/>
  <c r="BZ288" i="16" s="1"/>
  <c r="AY276" i="16"/>
  <c r="BW275" i="16"/>
  <c r="AC306" i="16"/>
  <c r="AC309" i="16" s="1"/>
  <c r="AC310" i="16" s="1"/>
  <c r="K306" i="16"/>
  <c r="BW207" i="16"/>
  <c r="AY208" i="16"/>
  <c r="BY315" i="16"/>
  <c r="BA321" i="16"/>
  <c r="BA322" i="16" s="1"/>
  <c r="AJ306" i="16"/>
  <c r="AJ309" i="16" s="1"/>
  <c r="AJ310" i="16" s="1"/>
  <c r="L309" i="16"/>
  <c r="L310" i="16" s="1"/>
  <c r="W303" i="16" s="1"/>
  <c r="Z37" i="16" s="1"/>
  <c r="BY269" i="16"/>
  <c r="BA275" i="16"/>
  <c r="J253" i="16"/>
  <c r="J254" i="16" s="1"/>
  <c r="U246" i="16" s="1"/>
  <c r="CN337" i="16"/>
  <c r="BA253" i="16"/>
  <c r="BY253" i="16" s="1"/>
  <c r="AC254" i="16"/>
  <c r="BZ241" i="16"/>
  <c r="BB242" i="16"/>
  <c r="BB276" i="16"/>
  <c r="BZ275" i="16"/>
  <c r="CF238" i="16"/>
  <c r="BH241" i="16"/>
  <c r="E207" i="16"/>
  <c r="E208" i="16" s="1"/>
  <c r="K219" i="16"/>
  <c r="K220" i="16" s="1"/>
  <c r="E321" i="16"/>
  <c r="E322" i="16" s="1"/>
  <c r="BY238" i="16"/>
  <c r="BG238" i="16"/>
  <c r="CE238" i="16" s="1"/>
  <c r="AZ288" i="16"/>
  <c r="BX288" i="16" s="1"/>
  <c r="AS281" i="16"/>
  <c r="BQ281" i="16" s="1"/>
  <c r="CO281" i="16" s="1"/>
  <c r="CE235" i="16"/>
  <c r="AC204" i="16"/>
  <c r="AC207" i="16" s="1"/>
  <c r="AC208" i="16" s="1"/>
  <c r="E238" i="16"/>
  <c r="AC238" i="16" s="1"/>
  <c r="AC241" i="16" s="1"/>
  <c r="AC242" i="16" s="1"/>
  <c r="K204" i="16"/>
  <c r="K207" i="16" s="1"/>
  <c r="K208" i="16" s="1"/>
  <c r="V201" i="16" s="1"/>
  <c r="Y28" i="16" s="1"/>
  <c r="AC318" i="16"/>
  <c r="AC321" i="16" s="1"/>
  <c r="AC322" i="16" s="1"/>
  <c r="K318" i="16"/>
  <c r="AI318" i="16" s="1"/>
  <c r="AI321" i="16" s="1"/>
  <c r="AI322" i="16" s="1"/>
  <c r="BY235" i="16"/>
  <c r="BA241" i="16"/>
  <c r="K251" i="16"/>
  <c r="E251" i="16" s="1"/>
  <c r="BG251" i="16"/>
  <c r="CE251" i="16" s="1"/>
  <c r="BH276" i="16"/>
  <c r="CF276" i="16" s="1"/>
  <c r="CF275" i="16"/>
  <c r="BG208" i="16"/>
  <c r="CE208" i="16" s="1"/>
  <c r="CE207" i="16"/>
  <c r="BB208" i="16"/>
  <c r="BZ207" i="16"/>
  <c r="AC219" i="16"/>
  <c r="AC220" i="16" s="1"/>
  <c r="AT213" i="16" s="1"/>
  <c r="AA29" i="16" s="1"/>
  <c r="L253" i="16"/>
  <c r="L254" i="16" s="1"/>
  <c r="W246" i="16" s="1"/>
  <c r="Z32" i="16" s="1"/>
  <c r="W337" i="16"/>
  <c r="Z40" i="16" s="1"/>
  <c r="BX241" i="16"/>
  <c r="AZ242" i="16"/>
  <c r="E253" i="16"/>
  <c r="E254" i="16" s="1"/>
  <c r="E343" i="16"/>
  <c r="E344" i="16" s="1"/>
  <c r="E144" i="16"/>
  <c r="E150" i="16" s="1"/>
  <c r="E39" i="16"/>
  <c r="E45" i="16" s="1"/>
  <c r="Y8" i="16" s="1"/>
  <c r="BG272" i="16"/>
  <c r="CE272" i="16" s="1"/>
  <c r="BY272" i="16"/>
  <c r="BG318" i="16"/>
  <c r="CE318" i="16" s="1"/>
  <c r="BY318" i="16"/>
  <c r="AZ276" i="16"/>
  <c r="BX275" i="16"/>
  <c r="BX219" i="16"/>
  <c r="AZ220" i="16"/>
  <c r="CF219" i="16"/>
  <c r="BH220" i="16"/>
  <c r="CF220" i="16" s="1"/>
  <c r="AN275" i="16"/>
  <c r="BL275" i="16" s="1"/>
  <c r="CJ275" i="16" s="1"/>
  <c r="BL273" i="16"/>
  <c r="CJ273" i="16" s="1"/>
  <c r="BA343" i="16"/>
  <c r="BA344" i="16" s="1"/>
  <c r="BY337" i="16"/>
  <c r="BA207" i="16"/>
  <c r="BY201" i="16"/>
  <c r="AH340" i="16"/>
  <c r="AH343" i="16" s="1"/>
  <c r="AH344" i="16" s="1"/>
  <c r="AB343" i="16"/>
  <c r="AB344" i="16" s="1"/>
  <c r="BS303" i="16"/>
  <c r="AD37" i="16" s="1"/>
  <c r="BH343" i="16"/>
  <c r="BH344" i="16" s="1"/>
  <c r="BS337" i="16" s="1"/>
  <c r="AD40" i="16" s="1"/>
  <c r="AZ208" i="16"/>
  <c r="BX207" i="16"/>
  <c r="CE337" i="16"/>
  <c r="BA219" i="16"/>
  <c r="BY213" i="16"/>
  <c r="CD272" i="16"/>
  <c r="BF275" i="16"/>
  <c r="AH204" i="16"/>
  <c r="AH207" i="16" s="1"/>
  <c r="AH208" i="16" s="1"/>
  <c r="AS201" i="16" s="1"/>
  <c r="J238" i="16"/>
  <c r="AJ340" i="16"/>
  <c r="AJ343" i="16" s="1"/>
  <c r="AJ344" i="16" s="1"/>
  <c r="AD343" i="16"/>
  <c r="AD344" i="16" s="1"/>
  <c r="AZ254" i="16"/>
  <c r="BX254" i="16" s="1"/>
  <c r="AS247" i="16"/>
  <c r="BQ247" i="16" s="1"/>
  <c r="CO247" i="16" s="1"/>
  <c r="AY242" i="16"/>
  <c r="BP235" i="16" s="1"/>
  <c r="CN235" i="16" s="1"/>
  <c r="BW241" i="16"/>
  <c r="BQ337" i="16"/>
  <c r="BE276" i="16"/>
  <c r="CC276" i="16" s="1"/>
  <c r="CC275" i="16"/>
  <c r="AI287" i="16"/>
  <c r="CE213" i="16"/>
  <c r="BE220" i="16"/>
  <c r="CC220" i="16" s="1"/>
  <c r="CC219" i="16"/>
  <c r="BZ321" i="16"/>
  <c r="BZ322" i="16" s="1"/>
  <c r="CQ315" i="16" s="1"/>
  <c r="AF38" i="16" s="1"/>
  <c r="E275" i="16"/>
  <c r="E276" i="16" s="1"/>
  <c r="E241" i="16"/>
  <c r="E242" i="16" s="1"/>
  <c r="K321" i="16"/>
  <c r="K322" i="16" s="1"/>
  <c r="V315" i="16" s="1"/>
  <c r="Y38" i="16" s="1"/>
  <c r="K253" i="16"/>
  <c r="K254" i="16" s="1"/>
  <c r="BY306" i="16"/>
  <c r="BY309" i="16" s="1"/>
  <c r="BY310" i="16" s="1"/>
  <c r="BG306" i="16"/>
  <c r="CE306" i="16" s="1"/>
  <c r="CE309" i="16" s="1"/>
  <c r="CE310" i="16" s="1"/>
  <c r="BF242" i="16"/>
  <c r="CD241" i="16"/>
  <c r="CE315" i="16"/>
  <c r="CE321" i="16" s="1"/>
  <c r="CE322" i="16" s="1"/>
  <c r="BG321" i="16"/>
  <c r="BG322" i="16" s="1"/>
  <c r="BR315" i="16" s="1"/>
  <c r="AC38" i="16" s="1"/>
  <c r="AJ288" i="16"/>
  <c r="BH288" i="16" s="1"/>
  <c r="CF288" i="16" s="1"/>
  <c r="BH287" i="16"/>
  <c r="CF287" i="16" s="1"/>
  <c r="BB220" i="16"/>
  <c r="BZ219" i="16"/>
  <c r="K272" i="16"/>
  <c r="AI272" i="16" s="1"/>
  <c r="AI275" i="16" s="1"/>
  <c r="AI276" i="16" s="1"/>
  <c r="AC272" i="16"/>
  <c r="AC275" i="16" s="1"/>
  <c r="AC276" i="16" s="1"/>
  <c r="AC340" i="16"/>
  <c r="K340" i="16"/>
  <c r="K343" i="16" s="1"/>
  <c r="K344" i="16" s="1"/>
  <c r="V337" i="16" s="1"/>
  <c r="Y40" i="16" s="1"/>
  <c r="J275" i="16"/>
  <c r="J276" i="16" s="1"/>
  <c r="U269" i="16" s="1"/>
  <c r="AU303" i="16"/>
  <c r="AB37" i="16" s="1"/>
  <c r="CD219" i="16"/>
  <c r="BF220" i="16"/>
  <c r="CD220" i="16" s="1"/>
  <c r="CF343" i="16"/>
  <c r="CF344" i="16" s="1"/>
  <c r="CQ337" i="16" s="1"/>
  <c r="AF40" i="16" s="1"/>
  <c r="AI253" i="16"/>
  <c r="AS315" i="16"/>
  <c r="W213" i="16"/>
  <c r="Z29" i="16" s="1"/>
  <c r="AO241" i="16"/>
  <c r="BM241" i="16" s="1"/>
  <c r="CK241" i="16" s="1"/>
  <c r="BM239" i="16"/>
  <c r="CK239" i="16" s="1"/>
  <c r="AU269" i="16"/>
  <c r="AB34" i="16" s="1"/>
  <c r="AG238" i="16"/>
  <c r="AG241" i="16" s="1"/>
  <c r="AG242" i="16" s="1"/>
  <c r="I241" i="16"/>
  <c r="I242" i="16" s="1"/>
  <c r="T235" i="16" s="1"/>
  <c r="BP337" i="16"/>
  <c r="BF309" i="16"/>
  <c r="BF310" i="16" s="1"/>
  <c r="BQ303" i="16" s="1"/>
  <c r="BX343" i="16"/>
  <c r="BX344" i="16" s="1"/>
  <c r="CO337" i="16" s="1"/>
  <c r="BG275" i="16"/>
  <c r="CE269" i="16"/>
  <c r="AH306" i="16"/>
  <c r="AH309" i="16" s="1"/>
  <c r="AH310" i="16" s="1"/>
  <c r="AS303" i="16" s="1"/>
  <c r="J309" i="16"/>
  <c r="J310" i="16" s="1"/>
  <c r="U303" i="16" s="1"/>
  <c r="L275" i="16"/>
  <c r="L276" i="16" s="1"/>
  <c r="W269" i="16" s="1"/>
  <c r="Z34" i="16" s="1"/>
  <c r="BM273" i="16"/>
  <c r="CK273" i="16" s="1"/>
  <c r="AO275" i="16"/>
  <c r="BM275" i="16" s="1"/>
  <c r="CK275" i="16" s="1"/>
  <c r="L207" i="16"/>
  <c r="L208" i="16" s="1"/>
  <c r="W201" i="16" s="1"/>
  <c r="Z28" i="16" s="1"/>
  <c r="AJ204" i="16"/>
  <c r="AJ207" i="16" s="1"/>
  <c r="AJ208" i="16" s="1"/>
  <c r="AU201" i="16" s="1"/>
  <c r="AB28" i="16" s="1"/>
  <c r="L238" i="16"/>
  <c r="BB254" i="16"/>
  <c r="BZ254" i="16" s="1"/>
  <c r="AU247" i="16"/>
  <c r="AR235" i="16"/>
  <c r="E219" i="16"/>
  <c r="E220" i="16" s="1"/>
  <c r="V213" i="16" s="1"/>
  <c r="Y29" i="16" s="1"/>
  <c r="E309" i="16"/>
  <c r="E310" i="16" s="1"/>
  <c r="K287" i="16"/>
  <c r="K288" i="16" s="1"/>
  <c r="V281" i="16" s="1"/>
  <c r="Y35" i="16" s="1"/>
  <c r="BG216" i="16"/>
  <c r="CE216" i="16" s="1"/>
  <c r="BY216" i="16"/>
  <c r="BY340" i="16"/>
  <c r="BG340" i="16"/>
  <c r="CE340" i="16" s="1"/>
  <c r="T45" i="16"/>
  <c r="AE8" i="16" s="1"/>
  <c r="D28" i="22"/>
  <c r="D28" i="21"/>
  <c r="D27" i="22"/>
  <c r="D27" i="21"/>
  <c r="E10" i="19"/>
  <c r="D13" i="19"/>
  <c r="I13" i="19" s="1"/>
  <c r="D13" i="20"/>
  <c r="E10" i="20"/>
  <c r="I10" i="20"/>
  <c r="C11" i="19"/>
  <c r="C11" i="20"/>
  <c r="D14" i="19"/>
  <c r="I14" i="19" s="1"/>
  <c r="D14" i="20"/>
  <c r="E11" i="20"/>
  <c r="I11" i="20"/>
  <c r="C10" i="19"/>
  <c r="C10" i="20"/>
  <c r="D12" i="19"/>
  <c r="E12" i="19" s="1"/>
  <c r="D12" i="20"/>
  <c r="D366" i="16"/>
  <c r="T12" i="16"/>
  <c r="AE5" i="16" s="1"/>
  <c r="P138" i="16"/>
  <c r="AD20" i="16" s="1"/>
  <c r="AD23" i="16" s="1"/>
  <c r="D56" i="16"/>
  <c r="I53" i="16"/>
  <c r="F230" i="16"/>
  <c r="Z30" i="16" s="1"/>
  <c r="K227" i="16"/>
  <c r="F56" i="16"/>
  <c r="Z9" i="16" s="1"/>
  <c r="K53" i="16"/>
  <c r="K56" i="16" s="1"/>
  <c r="AB9" i="16" s="1"/>
  <c r="U34" i="16"/>
  <c r="AF7" i="16" s="1"/>
  <c r="AD7" i="16"/>
  <c r="D230" i="16"/>
  <c r="I227" i="16"/>
  <c r="E80" i="16"/>
  <c r="Y12" i="16" s="1"/>
  <c r="E332" i="16"/>
  <c r="Y39" i="16" s="1"/>
  <c r="E6" i="18"/>
  <c r="B6" i="18"/>
  <c r="N6" i="23" s="1"/>
  <c r="E4" i="18"/>
  <c r="B4" i="18"/>
  <c r="N4" i="23" s="1"/>
  <c r="E5" i="18"/>
  <c r="B5" i="18"/>
  <c r="N5" i="23" s="1"/>
  <c r="K91" i="16"/>
  <c r="AB13" i="16" s="1"/>
  <c r="AB14" i="16" s="1"/>
  <c r="E298" i="16"/>
  <c r="Y36" i="16" s="1"/>
  <c r="O126" i="16"/>
  <c r="AC19" i="16" s="1"/>
  <c r="J68" i="16"/>
  <c r="AA10" i="16" s="1"/>
  <c r="AA11" i="16" s="1"/>
  <c r="E264" i="16"/>
  <c r="Y33" i="16" s="1"/>
  <c r="E196" i="16"/>
  <c r="Y27" i="16" s="1"/>
  <c r="F103" i="16"/>
  <c r="Z15" i="16" s="1"/>
  <c r="E97" i="16"/>
  <c r="E91" i="16"/>
  <c r="Y13" i="16" s="1"/>
  <c r="Y14" i="16" s="1"/>
  <c r="E355" i="16"/>
  <c r="Y41" i="16" s="1"/>
  <c r="E360" i="16"/>
  <c r="J97" i="16"/>
  <c r="O85" i="16"/>
  <c r="U132" i="16"/>
  <c r="U138" i="16" s="1"/>
  <c r="AF20" i="16" s="1"/>
  <c r="AF23" i="16" s="1"/>
  <c r="U126" i="16"/>
  <c r="AF19" i="16" s="1"/>
  <c r="E53" i="16"/>
  <c r="J352" i="16"/>
  <c r="E363" i="16"/>
  <c r="K363" i="16"/>
  <c r="K366" i="16" s="1"/>
  <c r="AB42" i="16" s="1"/>
  <c r="AB43" i="16" s="1"/>
  <c r="K355" i="16"/>
  <c r="AB41" i="16" s="1"/>
  <c r="N22" i="16"/>
  <c r="N144" i="16"/>
  <c r="O12" i="16"/>
  <c r="AC5" i="16" s="1"/>
  <c r="S85" i="16"/>
  <c r="S91" i="16" s="1"/>
  <c r="N91" i="16"/>
  <c r="M56" i="16"/>
  <c r="R56" i="16" s="1"/>
  <c r="R50" i="16"/>
  <c r="T349" i="16"/>
  <c r="O360" i="16"/>
  <c r="O355" i="16"/>
  <c r="AC41" i="16" s="1"/>
  <c r="R132" i="16"/>
  <c r="R138" i="16" s="1"/>
  <c r="R126" i="16"/>
  <c r="H230" i="16"/>
  <c r="T224" i="16"/>
  <c r="H103" i="16"/>
  <c r="M97" i="16"/>
  <c r="P144" i="16"/>
  <c r="P22" i="16"/>
  <c r="AD6" i="16" s="1"/>
  <c r="S50" i="16"/>
  <c r="N56" i="16"/>
  <c r="S56" i="16" s="1"/>
  <c r="O298" i="16"/>
  <c r="AC36" i="16" s="1"/>
  <c r="T292" i="16"/>
  <c r="T298" i="16" s="1"/>
  <c r="AE36" i="16" s="1"/>
  <c r="O68" i="16"/>
  <c r="AC10" i="16" s="1"/>
  <c r="AC11" i="16" s="1"/>
  <c r="T62" i="16"/>
  <c r="T68" i="16" s="1"/>
  <c r="AE10" i="16" s="1"/>
  <c r="AE11" i="16" s="1"/>
  <c r="T28" i="16"/>
  <c r="O34" i="16"/>
  <c r="J123" i="16"/>
  <c r="E135" i="16"/>
  <c r="E126" i="16"/>
  <c r="Y19" i="16" s="1"/>
  <c r="E227" i="16"/>
  <c r="T352" i="16"/>
  <c r="T363" i="16" s="1"/>
  <c r="O363" i="16"/>
  <c r="C170" i="16"/>
  <c r="C162" i="16"/>
  <c r="O16" i="16"/>
  <c r="T16" i="16" s="1"/>
  <c r="T22" i="16" s="1"/>
  <c r="AE6" i="16" s="1"/>
  <c r="J144" i="16"/>
  <c r="J150" i="16" s="1"/>
  <c r="AA21" i="16" s="1"/>
  <c r="AA22" i="16" s="1"/>
  <c r="J22" i="16"/>
  <c r="AA6" i="16" s="1"/>
  <c r="S126" i="16"/>
  <c r="S132" i="16"/>
  <c r="S138" i="16" s="1"/>
  <c r="N97" i="16"/>
  <c r="I103" i="16"/>
  <c r="D103" i="16"/>
  <c r="T120" i="16"/>
  <c r="O132" i="16"/>
  <c r="O50" i="16"/>
  <c r="I363" i="16"/>
  <c r="I366" i="16" s="1"/>
  <c r="I355" i="16"/>
  <c r="S230" i="16"/>
  <c r="R85" i="16"/>
  <c r="R91" i="16" s="1"/>
  <c r="M91" i="16"/>
  <c r="F159" i="16"/>
  <c r="F138" i="16"/>
  <c r="Z20" i="16" s="1"/>
  <c r="Z23" i="16" s="1"/>
  <c r="S360" i="16"/>
  <c r="S366" i="16" s="1"/>
  <c r="S355" i="16"/>
  <c r="T167" i="16"/>
  <c r="T173" i="16" s="1"/>
  <c r="AE25" i="16" s="1"/>
  <c r="O173" i="16"/>
  <c r="AC25" i="16" s="1"/>
  <c r="I56" i="16"/>
  <c r="I45" i="16"/>
  <c r="U230" i="16"/>
  <c r="AF30" i="16" s="1"/>
  <c r="U85" i="16"/>
  <c r="U91" i="16" s="1"/>
  <c r="AF13" i="16" s="1"/>
  <c r="AF14" i="16" s="1"/>
  <c r="P91" i="16"/>
  <c r="AD13" i="16" s="1"/>
  <c r="AD14" i="16" s="1"/>
  <c r="K45" i="16"/>
  <c r="AB8" i="16" s="1"/>
  <c r="T111" i="16"/>
  <c r="T114" i="16" s="1"/>
  <c r="AE16" i="16" s="1"/>
  <c r="O114" i="16"/>
  <c r="AC16" i="16" s="1"/>
  <c r="T123" i="16"/>
  <c r="T135" i="16" s="1"/>
  <c r="O135" i="16"/>
  <c r="O230" i="16"/>
  <c r="AC30" i="16" s="1"/>
  <c r="K31" i="16"/>
  <c r="K34" i="16" s="1"/>
  <c r="AB7" i="16" s="1"/>
  <c r="K12" i="16"/>
  <c r="AB5" i="16" s="1"/>
  <c r="O264" i="16"/>
  <c r="AC33" i="16" s="1"/>
  <c r="T258" i="16"/>
  <c r="T264" i="16" s="1"/>
  <c r="AE33" i="16" s="1"/>
  <c r="D159" i="16"/>
  <c r="D138" i="16"/>
  <c r="T326" i="16"/>
  <c r="T332" i="16" s="1"/>
  <c r="AE39" i="16" s="1"/>
  <c r="O332" i="16"/>
  <c r="AC39" i="16" s="1"/>
  <c r="O45" i="16"/>
  <c r="AC8" i="16" s="1"/>
  <c r="S28" i="16"/>
  <c r="N34" i="16"/>
  <c r="S34" i="16" s="1"/>
  <c r="U355" i="16"/>
  <c r="AF41" i="16" s="1"/>
  <c r="U360" i="16"/>
  <c r="U366" i="16" s="1"/>
  <c r="AF42" i="16" s="1"/>
  <c r="AF43" i="16" s="1"/>
  <c r="E31" i="16"/>
  <c r="E34" i="16" s="1"/>
  <c r="Y7" i="16" s="1"/>
  <c r="J8" i="16"/>
  <c r="E12" i="16"/>
  <c r="Y5" i="16" s="1"/>
  <c r="K135" i="16"/>
  <c r="K126" i="16"/>
  <c r="AB19" i="16" s="1"/>
  <c r="J111" i="16"/>
  <c r="J114" i="16" s="1"/>
  <c r="AA16" i="16" s="1"/>
  <c r="E114" i="16"/>
  <c r="Y16" i="16" s="1"/>
  <c r="P97" i="16"/>
  <c r="K103" i="16"/>
  <c r="AB15" i="16" s="1"/>
  <c r="T179" i="16"/>
  <c r="T185" i="16" s="1"/>
  <c r="AE26" i="16" s="1"/>
  <c r="O185" i="16"/>
  <c r="AC26" i="16" s="1"/>
  <c r="M144" i="16"/>
  <c r="M22" i="16"/>
  <c r="N138" i="16"/>
  <c r="I91" i="16"/>
  <c r="U50" i="16"/>
  <c r="P56" i="16"/>
  <c r="T74" i="16"/>
  <c r="T80" i="16" s="1"/>
  <c r="AE12" i="16" s="1"/>
  <c r="O80" i="16"/>
  <c r="AC12" i="16" s="1"/>
  <c r="O162" i="16"/>
  <c r="AC24" i="16" s="1"/>
  <c r="T156" i="16"/>
  <c r="T162" i="16" s="1"/>
  <c r="AE24" i="16" s="1"/>
  <c r="I135" i="16"/>
  <c r="I126" i="16"/>
  <c r="T190" i="16"/>
  <c r="T196" i="16" s="1"/>
  <c r="AE27" i="16" s="1"/>
  <c r="O196" i="16"/>
  <c r="AC27" i="16" s="1"/>
  <c r="F366" i="16"/>
  <c r="Z42" i="16" s="1"/>
  <c r="Z43" i="16" s="1"/>
  <c r="P366" i="16"/>
  <c r="AD42" i="16" s="1"/>
  <c r="AD43" i="16" s="1"/>
  <c r="I31" i="16"/>
  <c r="I34" i="16" s="1"/>
  <c r="I12" i="16"/>
  <c r="R360" i="16"/>
  <c r="R366" i="16" s="1"/>
  <c r="R355" i="16"/>
  <c r="J89" i="16"/>
  <c r="O89" i="16" s="1"/>
  <c r="T89" i="16" s="1"/>
  <c r="E101" i="16"/>
  <c r="J101" i="16" s="1"/>
  <c r="O101" i="16" s="1"/>
  <c r="T101" i="16" s="1"/>
  <c r="CP303" i="16" l="1"/>
  <c r="AE37" i="16" s="1"/>
  <c r="E13" i="19"/>
  <c r="P5" i="23"/>
  <c r="R5" i="23"/>
  <c r="P6" i="23"/>
  <c r="R6" i="23"/>
  <c r="P4" i="23"/>
  <c r="R4" i="23"/>
  <c r="E14" i="19"/>
  <c r="AS337" i="16"/>
  <c r="Y22" i="16"/>
  <c r="Y21" i="16"/>
  <c r="BS247" i="16"/>
  <c r="AB32" i="16"/>
  <c r="AI288" i="16"/>
  <c r="BG288" i="16" s="1"/>
  <c r="CE288" i="16" s="1"/>
  <c r="BG287" i="16"/>
  <c r="CE287" i="16" s="1"/>
  <c r="AU337" i="16"/>
  <c r="AB40" i="16" s="1"/>
  <c r="BF276" i="16"/>
  <c r="CD276" i="16" s="1"/>
  <c r="CD275" i="16"/>
  <c r="BG343" i="16"/>
  <c r="BG344" i="16" s="1"/>
  <c r="BX276" i="16"/>
  <c r="CO269" i="16" s="1"/>
  <c r="BQ269" i="16"/>
  <c r="K275" i="16"/>
  <c r="K276" i="16" s="1"/>
  <c r="V269" i="16" s="1"/>
  <c r="Y34" i="16" s="1"/>
  <c r="BQ235" i="16"/>
  <c r="CO235" i="16" s="1"/>
  <c r="BW276" i="16"/>
  <c r="CN269" i="16" s="1"/>
  <c r="BP269" i="16"/>
  <c r="BA288" i="16"/>
  <c r="BY288" i="16" s="1"/>
  <c r="BG219" i="16"/>
  <c r="CE343" i="16"/>
  <c r="CE344" i="16" s="1"/>
  <c r="BY207" i="16"/>
  <c r="BA208" i="16"/>
  <c r="BX220" i="16"/>
  <c r="BQ213" i="16"/>
  <c r="CO213" i="16" s="1"/>
  <c r="AS269" i="16"/>
  <c r="BG309" i="16"/>
  <c r="BG310" i="16" s="1"/>
  <c r="BR303" i="16" s="1"/>
  <c r="AC37" i="16" s="1"/>
  <c r="BZ276" i="16"/>
  <c r="CQ269" i="16" s="1"/>
  <c r="AF34" i="16" s="1"/>
  <c r="BS269" i="16"/>
  <c r="AD34" i="16" s="1"/>
  <c r="BA254" i="16"/>
  <c r="BY254" i="16" s="1"/>
  <c r="BY275" i="16"/>
  <c r="BA276" i="16"/>
  <c r="AI306" i="16"/>
  <c r="AI309" i="16" s="1"/>
  <c r="AI310" i="16" s="1"/>
  <c r="AT303" i="16" s="1"/>
  <c r="AA37" i="16" s="1"/>
  <c r="K309" i="16"/>
  <c r="K310" i="16" s="1"/>
  <c r="V303" i="16" s="1"/>
  <c r="Y37" i="16" s="1"/>
  <c r="AJ238" i="16"/>
  <c r="AJ241" i="16" s="1"/>
  <c r="AJ242" i="16" s="1"/>
  <c r="L241" i="16"/>
  <c r="L242" i="16" s="1"/>
  <c r="AI340" i="16"/>
  <c r="AI343" i="16" s="1"/>
  <c r="AI344" i="16" s="1"/>
  <c r="AC343" i="16"/>
  <c r="AC344" i="16" s="1"/>
  <c r="BZ220" i="16"/>
  <c r="BS213" i="16"/>
  <c r="AH238" i="16"/>
  <c r="AH241" i="16" s="1"/>
  <c r="AH242" i="16" s="1"/>
  <c r="J241" i="16"/>
  <c r="J242" i="16" s="1"/>
  <c r="BY343" i="16"/>
  <c r="BY344" i="16" s="1"/>
  <c r="CP337" i="16" s="1"/>
  <c r="AE40" i="16" s="1"/>
  <c r="BZ208" i="16"/>
  <c r="CQ201" i="16" s="1"/>
  <c r="AF28" i="16" s="1"/>
  <c r="BS201" i="16"/>
  <c r="AD28" i="16" s="1"/>
  <c r="BY241" i="16"/>
  <c r="BA242" i="16"/>
  <c r="AT315" i="16"/>
  <c r="AA38" i="16" s="1"/>
  <c r="CF241" i="16"/>
  <c r="BH242" i="16"/>
  <c r="BY321" i="16"/>
  <c r="BY322" i="16" s="1"/>
  <c r="CP315" i="16" s="1"/>
  <c r="AE38" i="16" s="1"/>
  <c r="AU281" i="16"/>
  <c r="BP213" i="16"/>
  <c r="CN213" i="16" s="1"/>
  <c r="BW220" i="16"/>
  <c r="BG276" i="16"/>
  <c r="CE276" i="16" s="1"/>
  <c r="CE275" i="16"/>
  <c r="AI254" i="16"/>
  <c r="BG254" i="16" s="1"/>
  <c r="CE254" i="16" s="1"/>
  <c r="BG253" i="16"/>
  <c r="CE253" i="16" s="1"/>
  <c r="AT269" i="16"/>
  <c r="AA34" i="16" s="1"/>
  <c r="BA220" i="16"/>
  <c r="BY219" i="16"/>
  <c r="BQ201" i="16"/>
  <c r="BX208" i="16"/>
  <c r="CO201" i="16" s="1"/>
  <c r="BR337" i="16"/>
  <c r="AC40" i="16" s="1"/>
  <c r="V246" i="16"/>
  <c r="Y32" i="16" s="1"/>
  <c r="AI204" i="16"/>
  <c r="AI207" i="16" s="1"/>
  <c r="AI208" i="16" s="1"/>
  <c r="AT201" i="16" s="1"/>
  <c r="AA28" i="16" s="1"/>
  <c r="K238" i="16"/>
  <c r="BG241" i="16"/>
  <c r="BS235" i="16"/>
  <c r="BP201" i="16"/>
  <c r="BW208" i="16"/>
  <c r="CN201" i="16" s="1"/>
  <c r="D16" i="19"/>
  <c r="B23" i="19" s="1"/>
  <c r="I12" i="19"/>
  <c r="I16" i="19" s="1"/>
  <c r="P150" i="16"/>
  <c r="AD21" i="16" s="1"/>
  <c r="AD22" i="16" s="1"/>
  <c r="U144" i="16"/>
  <c r="U150" i="16" s="1"/>
  <c r="AF21" i="16" s="1"/>
  <c r="AF22" i="16" s="1"/>
  <c r="M150" i="16"/>
  <c r="R144" i="16"/>
  <c r="R150" i="16" s="1"/>
  <c r="N150" i="16"/>
  <c r="S144" i="16"/>
  <c r="S150" i="16" s="1"/>
  <c r="D29" i="22"/>
  <c r="D29" i="21"/>
  <c r="D37" i="21"/>
  <c r="D37" i="22"/>
  <c r="D30" i="21"/>
  <c r="D30" i="22"/>
  <c r="D31" i="22"/>
  <c r="D31" i="21"/>
  <c r="D38" i="21"/>
  <c r="D38" i="22"/>
  <c r="E12" i="20"/>
  <c r="I12" i="20"/>
  <c r="C13" i="19"/>
  <c r="C13" i="20"/>
  <c r="C14" i="19"/>
  <c r="C14" i="20"/>
  <c r="E14" i="20"/>
  <c r="I14" i="20"/>
  <c r="E13" i="20"/>
  <c r="I13" i="20"/>
  <c r="C12" i="19"/>
  <c r="C12" i="20"/>
  <c r="D16" i="20"/>
  <c r="B23" i="20" s="1"/>
  <c r="Z18" i="16"/>
  <c r="Z17" i="16"/>
  <c r="E230" i="16"/>
  <c r="Y30" i="16" s="1"/>
  <c r="J227" i="16"/>
  <c r="T34" i="16"/>
  <c r="AE7" i="16" s="1"/>
  <c r="AC7" i="16"/>
  <c r="U56" i="16"/>
  <c r="AF9" i="16" s="1"/>
  <c r="AD9" i="16"/>
  <c r="AB18" i="16"/>
  <c r="AB17" i="16"/>
  <c r="E56" i="16"/>
  <c r="Y9" i="16" s="1"/>
  <c r="J53" i="16"/>
  <c r="J56" i="16" s="1"/>
  <c r="AA9" i="16" s="1"/>
  <c r="O138" i="16"/>
  <c r="AC20" i="16" s="1"/>
  <c r="AC23" i="16" s="1"/>
  <c r="I159" i="16"/>
  <c r="I162" i="16" s="1"/>
  <c r="I138" i="16"/>
  <c r="K230" i="16"/>
  <c r="AB30" i="16" s="1"/>
  <c r="T50" i="16"/>
  <c r="O56" i="16"/>
  <c r="T132" i="16"/>
  <c r="T138" i="16" s="1"/>
  <c r="AE20" i="16" s="1"/>
  <c r="AE23" i="16" s="1"/>
  <c r="T126" i="16"/>
  <c r="AE19" i="16" s="1"/>
  <c r="H170" i="16"/>
  <c r="H173" i="16" s="1"/>
  <c r="C173" i="16"/>
  <c r="E159" i="16"/>
  <c r="E138" i="16"/>
  <c r="Y20" i="16" s="1"/>
  <c r="Y23" i="16" s="1"/>
  <c r="J45" i="16"/>
  <c r="AA8" i="16" s="1"/>
  <c r="J91" i="16"/>
  <c r="AA13" i="16" s="1"/>
  <c r="AA14" i="16" s="1"/>
  <c r="K159" i="16"/>
  <c r="K162" i="16" s="1"/>
  <c r="AB24" i="16" s="1"/>
  <c r="K138" i="16"/>
  <c r="AB20" i="16" s="1"/>
  <c r="AB23" i="16" s="1"/>
  <c r="T230" i="16"/>
  <c r="AE30" i="16" s="1"/>
  <c r="F170" i="16"/>
  <c r="F162" i="16"/>
  <c r="Z24" i="16" s="1"/>
  <c r="S97" i="16"/>
  <c r="S103" i="16" s="1"/>
  <c r="N103" i="16"/>
  <c r="J135" i="16"/>
  <c r="J126" i="16"/>
  <c r="AA19" i="16" s="1"/>
  <c r="R97" i="16"/>
  <c r="R103" i="16" s="1"/>
  <c r="M103" i="16"/>
  <c r="T85" i="16"/>
  <c r="T91" i="16" s="1"/>
  <c r="AE13" i="16" s="1"/>
  <c r="AE14" i="16" s="1"/>
  <c r="O91" i="16"/>
  <c r="AC13" i="16" s="1"/>
  <c r="AC14" i="16" s="1"/>
  <c r="J31" i="16"/>
  <c r="J34" i="16" s="1"/>
  <c r="AA7" i="16" s="1"/>
  <c r="J12" i="16"/>
  <c r="AA5" i="16" s="1"/>
  <c r="I230" i="16"/>
  <c r="O144" i="16"/>
  <c r="O22" i="16"/>
  <c r="AC6" i="16" s="1"/>
  <c r="O366" i="16"/>
  <c r="AC42" i="16" s="1"/>
  <c r="AC43" i="16" s="1"/>
  <c r="J363" i="16"/>
  <c r="J366" i="16" s="1"/>
  <c r="AA42" i="16" s="1"/>
  <c r="AA43" i="16" s="1"/>
  <c r="J355" i="16"/>
  <c r="AA41" i="16" s="1"/>
  <c r="O97" i="16"/>
  <c r="J103" i="16"/>
  <c r="AA15" i="16" s="1"/>
  <c r="E103" i="16"/>
  <c r="Y15" i="16" s="1"/>
  <c r="U97" i="16"/>
  <c r="U103" i="16" s="1"/>
  <c r="AF15" i="16" s="1"/>
  <c r="P103" i="16"/>
  <c r="AD15" i="16" s="1"/>
  <c r="D170" i="16"/>
  <c r="D162" i="16"/>
  <c r="T360" i="16"/>
  <c r="T366" i="16" s="1"/>
  <c r="AE42" i="16" s="1"/>
  <c r="AE43" i="16" s="1"/>
  <c r="T355" i="16"/>
  <c r="AE41" i="16" s="1"/>
  <c r="E366" i="16"/>
  <c r="Y42" i="16" s="1"/>
  <c r="Y43" i="16" s="1"/>
  <c r="E16" i="19" l="1"/>
  <c r="AT281" i="16"/>
  <c r="J12" i="19"/>
  <c r="I34" i="21" s="1"/>
  <c r="R8" i="23"/>
  <c r="P8" i="23"/>
  <c r="AT337" i="16"/>
  <c r="AA40" i="16" s="1"/>
  <c r="AS235" i="16"/>
  <c r="U235" i="16"/>
  <c r="AT247" i="16"/>
  <c r="CE219" i="16"/>
  <c r="BG220" i="16"/>
  <c r="CE220" i="16" s="1"/>
  <c r="CQ235" i="16"/>
  <c r="AF31" i="16" s="1"/>
  <c r="AD31" i="16"/>
  <c r="BS281" i="16"/>
  <c r="AB35" i="16"/>
  <c r="BR201" i="16"/>
  <c r="AC28" i="16" s="1"/>
  <c r="BY208" i="16"/>
  <c r="CP201" i="16" s="1"/>
  <c r="AE28" i="16" s="1"/>
  <c r="BR281" i="16"/>
  <c r="AA35" i="16"/>
  <c r="AD32" i="16"/>
  <c r="AF32" i="16" s="1"/>
  <c r="CQ247" i="16"/>
  <c r="CE241" i="16"/>
  <c r="BG242" i="16"/>
  <c r="BR235" i="16" s="1"/>
  <c r="BY220" i="16"/>
  <c r="CQ213" i="16"/>
  <c r="AF29" i="16" s="1"/>
  <c r="AD29" i="16"/>
  <c r="AU235" i="16"/>
  <c r="AB31" i="16" s="1"/>
  <c r="W235" i="16"/>
  <c r="Z31" i="16" s="1"/>
  <c r="BY276" i="16"/>
  <c r="CP269" i="16" s="1"/>
  <c r="AE34" i="16" s="1"/>
  <c r="BR269" i="16"/>
  <c r="AC34" i="16" s="1"/>
  <c r="AI238" i="16"/>
  <c r="AI241" i="16" s="1"/>
  <c r="AI242" i="16" s="1"/>
  <c r="K241" i="16"/>
  <c r="K242" i="16" s="1"/>
  <c r="O150" i="16"/>
  <c r="AC21" i="16" s="1"/>
  <c r="AC22" i="16" s="1"/>
  <c r="T144" i="16"/>
  <c r="T150" i="16" s="1"/>
  <c r="AE21" i="16" s="1"/>
  <c r="AE22" i="16" s="1"/>
  <c r="D40" i="21"/>
  <c r="D41" i="21"/>
  <c r="D41" i="22"/>
  <c r="D39" i="21"/>
  <c r="D40" i="22"/>
  <c r="D39" i="22"/>
  <c r="I16" i="20"/>
  <c r="J15" i="20" s="1"/>
  <c r="M7" i="23" s="1"/>
  <c r="Q7" i="23" s="1"/>
  <c r="E16" i="20"/>
  <c r="Y17" i="16"/>
  <c r="Y18" i="16"/>
  <c r="AF18" i="16"/>
  <c r="AF17" i="16"/>
  <c r="AA18" i="16"/>
  <c r="AA17" i="16"/>
  <c r="T56" i="16"/>
  <c r="AE9" i="16" s="1"/>
  <c r="AC9" i="16"/>
  <c r="AD18" i="16"/>
  <c r="AD17" i="16"/>
  <c r="J11" i="19"/>
  <c r="J15" i="19"/>
  <c r="J10" i="19"/>
  <c r="J13" i="19"/>
  <c r="J14" i="19"/>
  <c r="T97" i="16"/>
  <c r="T103" i="16" s="1"/>
  <c r="AE15" i="16" s="1"/>
  <c r="O103" i="16"/>
  <c r="AC15" i="16" s="1"/>
  <c r="J230" i="16"/>
  <c r="AA30" i="16" s="1"/>
  <c r="K170" i="16"/>
  <c r="K173" i="16" s="1"/>
  <c r="AB25" i="16" s="1"/>
  <c r="F173" i="16"/>
  <c r="Z25" i="16" s="1"/>
  <c r="E170" i="16"/>
  <c r="E162" i="16"/>
  <c r="Y24" i="16" s="1"/>
  <c r="J159" i="16"/>
  <c r="J162" i="16" s="1"/>
  <c r="AA24" i="16" s="1"/>
  <c r="J138" i="16"/>
  <c r="AA20" i="16" s="1"/>
  <c r="AA23" i="16" s="1"/>
  <c r="I170" i="16"/>
  <c r="I173" i="16" s="1"/>
  <c r="D173" i="16"/>
  <c r="BR213" i="16" l="1"/>
  <c r="CP213" i="16" s="1"/>
  <c r="AE29" i="16" s="1"/>
  <c r="B33" i="19"/>
  <c r="E33" i="19" s="1"/>
  <c r="L4" i="23"/>
  <c r="O4" i="23" s="1"/>
  <c r="I36" i="21"/>
  <c r="L6" i="23"/>
  <c r="O6" i="23" s="1"/>
  <c r="I33" i="21"/>
  <c r="L3" i="23"/>
  <c r="O3" i="23" s="1"/>
  <c r="I35" i="21"/>
  <c r="L5" i="23"/>
  <c r="O5" i="23" s="1"/>
  <c r="I32" i="21"/>
  <c r="L2" i="23"/>
  <c r="O2" i="23" s="1"/>
  <c r="I37" i="21"/>
  <c r="L7" i="23"/>
  <c r="O7" i="23" s="1"/>
  <c r="CP235" i="16"/>
  <c r="AE31" i="16" s="1"/>
  <c r="AC31" i="16"/>
  <c r="AC35" i="16"/>
  <c r="AE35" i="16" s="1"/>
  <c r="CP281" i="16"/>
  <c r="AD35" i="16"/>
  <c r="AF35" i="16" s="1"/>
  <c r="CQ281" i="16"/>
  <c r="V235" i="16"/>
  <c r="Y31" i="16" s="1"/>
  <c r="AT235" i="16"/>
  <c r="AA31" i="16" s="1"/>
  <c r="AC29" i="16"/>
  <c r="AA32" i="16"/>
  <c r="BR247" i="16"/>
  <c r="J13" i="20"/>
  <c r="J10" i="20"/>
  <c r="B31" i="20" s="1"/>
  <c r="F31" i="20" s="1"/>
  <c r="J11" i="20"/>
  <c r="J12" i="20"/>
  <c r="J14" i="20"/>
  <c r="B36" i="20"/>
  <c r="F36" i="20" s="1"/>
  <c r="I37" i="22"/>
  <c r="B34" i="19"/>
  <c r="E34" i="19" s="1"/>
  <c r="B35" i="19"/>
  <c r="E35" i="19" s="1"/>
  <c r="B36" i="19"/>
  <c r="E36" i="19" s="1"/>
  <c r="B32" i="19"/>
  <c r="E32" i="19" s="1"/>
  <c r="AC17" i="16"/>
  <c r="AC18" i="16"/>
  <c r="AE18" i="16"/>
  <c r="AE17" i="16"/>
  <c r="K10" i="19"/>
  <c r="B31" i="19"/>
  <c r="E31" i="19" s="1"/>
  <c r="J170" i="16"/>
  <c r="J173" i="16" s="1"/>
  <c r="AA25" i="16" s="1"/>
  <c r="E173" i="16"/>
  <c r="Y25" i="16" s="1"/>
  <c r="A27" i="21" l="1"/>
  <c r="O8" i="23"/>
  <c r="P9" i="23" s="1"/>
  <c r="C12" i="23" s="1"/>
  <c r="I32" i="22"/>
  <c r="M2" i="23"/>
  <c r="Q2" i="23" s="1"/>
  <c r="B35" i="20"/>
  <c r="F35" i="20" s="1"/>
  <c r="M6" i="23"/>
  <c r="Q6" i="23" s="1"/>
  <c r="B34" i="20"/>
  <c r="F34" i="20" s="1"/>
  <c r="M5" i="23"/>
  <c r="Q5" i="23" s="1"/>
  <c r="I34" i="22"/>
  <c r="M4" i="23"/>
  <c r="Q4" i="23" s="1"/>
  <c r="K10" i="20"/>
  <c r="B32" i="20"/>
  <c r="F32" i="20" s="1"/>
  <c r="M3" i="23"/>
  <c r="Q3" i="23" s="1"/>
  <c r="I36" i="22"/>
  <c r="I35" i="22"/>
  <c r="AC32" i="16"/>
  <c r="AE32" i="16" s="1"/>
  <c r="CP247" i="16"/>
  <c r="AE45" i="16"/>
  <c r="I33" i="22"/>
  <c r="B33" i="20"/>
  <c r="F33" i="20" s="1"/>
  <c r="B37" i="21"/>
  <c r="B27" i="21"/>
  <c r="K11" i="20"/>
  <c r="K11" i="19"/>
  <c r="O10" i="19"/>
  <c r="A28" i="21" l="1"/>
  <c r="B28" i="21" s="1"/>
  <c r="O11" i="20"/>
  <c r="D31" i="23" s="1"/>
  <c r="O10" i="20"/>
  <c r="A27" i="22"/>
  <c r="B27" i="22" s="1"/>
  <c r="P10" i="19"/>
  <c r="B20" i="23" s="1"/>
  <c r="P4" i="24" s="1"/>
  <c r="B30" i="23"/>
  <c r="P10" i="20"/>
  <c r="D30" i="23"/>
  <c r="Q8" i="23"/>
  <c r="R9" i="23" s="1"/>
  <c r="E12" i="23" s="1"/>
  <c r="K12" i="20"/>
  <c r="A28" i="22"/>
  <c r="B38" i="21"/>
  <c r="K12" i="19"/>
  <c r="O11" i="19"/>
  <c r="B37" i="22" l="1"/>
  <c r="A29" i="21"/>
  <c r="B29" i="21" s="1"/>
  <c r="O12" i="20"/>
  <c r="D32" i="23" s="1"/>
  <c r="P11" i="20"/>
  <c r="Q11" i="20" s="1"/>
  <c r="E40" i="23" s="1"/>
  <c r="Y5" i="25" s="1"/>
  <c r="Q10" i="19"/>
  <c r="R10" i="19" s="1"/>
  <c r="P11" i="19"/>
  <c r="B21" i="23" s="1"/>
  <c r="P5" i="24" s="1"/>
  <c r="B31" i="23"/>
  <c r="D20" i="23"/>
  <c r="V4" i="25" s="1"/>
  <c r="Q10" i="20"/>
  <c r="B39" i="21"/>
  <c r="B38" i="22"/>
  <c r="B28" i="22"/>
  <c r="K13" i="20"/>
  <c r="A29" i="22"/>
  <c r="K13" i="19"/>
  <c r="O12" i="19"/>
  <c r="D21" i="23" l="1"/>
  <c r="V5" i="25" s="1"/>
  <c r="P12" i="20"/>
  <c r="D22" i="23" s="1"/>
  <c r="V6" i="25" s="1"/>
  <c r="A30" i="21"/>
  <c r="B40" i="21" s="1"/>
  <c r="O13" i="20"/>
  <c r="D33" i="23" s="1"/>
  <c r="Q11" i="19"/>
  <c r="B40" i="23" s="1"/>
  <c r="S5" i="24" s="1"/>
  <c r="B39" i="23"/>
  <c r="S4" i="24" s="1"/>
  <c r="E39" i="23"/>
  <c r="Y4" i="25" s="1"/>
  <c r="R10" i="20"/>
  <c r="R11" i="20"/>
  <c r="Q12" i="20"/>
  <c r="E41" i="23" s="1"/>
  <c r="Y6" i="25" s="1"/>
  <c r="P12" i="19"/>
  <c r="B32" i="23"/>
  <c r="B30" i="21"/>
  <c r="B29" i="22"/>
  <c r="B39" i="22"/>
  <c r="K14" i="20"/>
  <c r="A30" i="22"/>
  <c r="K14" i="19"/>
  <c r="O13" i="19"/>
  <c r="P13" i="20" l="1"/>
  <c r="D23" i="23" s="1"/>
  <c r="V7" i="25" s="1"/>
  <c r="A31" i="21"/>
  <c r="O14" i="20"/>
  <c r="D34" i="23" s="1"/>
  <c r="R11" i="19"/>
  <c r="Q13" i="20"/>
  <c r="E42" i="23" s="1"/>
  <c r="Y7" i="25" s="1"/>
  <c r="R12" i="20"/>
  <c r="P14" i="20"/>
  <c r="D24" i="23" s="1"/>
  <c r="V8" i="25" s="1"/>
  <c r="P13" i="19"/>
  <c r="B23" i="23" s="1"/>
  <c r="P7" i="24" s="1"/>
  <c r="B33" i="23"/>
  <c r="Q12" i="19"/>
  <c r="B22" i="23"/>
  <c r="P6" i="24" s="1"/>
  <c r="B41" i="21"/>
  <c r="B31" i="21"/>
  <c r="B30" i="22"/>
  <c r="B40" i="22"/>
  <c r="K15" i="20"/>
  <c r="A31" i="22"/>
  <c r="K15" i="19"/>
  <c r="O14" i="19"/>
  <c r="R13" i="20" l="1"/>
  <c r="A32" i="21"/>
  <c r="B42" i="21" s="1"/>
  <c r="C42" i="21" s="1"/>
  <c r="Q13" i="19"/>
  <c r="B42" i="23" s="1"/>
  <c r="S7" i="24" s="1"/>
  <c r="Q14" i="20"/>
  <c r="E43" i="23" s="1"/>
  <c r="Y8" i="25" s="1"/>
  <c r="P14" i="19"/>
  <c r="B34" i="23"/>
  <c r="B41" i="23"/>
  <c r="S6" i="24" s="1"/>
  <c r="R12" i="19"/>
  <c r="A32" i="22"/>
  <c r="B42" i="22" s="1"/>
  <c r="C42" i="22" s="1"/>
  <c r="O15" i="20"/>
  <c r="D35" i="23" s="1"/>
  <c r="B31" i="22"/>
  <c r="B41" i="22"/>
  <c r="O15" i="19"/>
  <c r="B32" i="21" l="1"/>
  <c r="C32" i="21" s="1"/>
  <c r="B8" i="23" s="1"/>
  <c r="R13" i="19"/>
  <c r="R14" i="20"/>
  <c r="P15" i="19"/>
  <c r="B35" i="23"/>
  <c r="Q14" i="19"/>
  <c r="B24" i="23"/>
  <c r="P8" i="24" s="1"/>
  <c r="B32" i="22"/>
  <c r="C32" i="22" s="1"/>
  <c r="F32" i="22" s="1"/>
  <c r="P15" i="20"/>
  <c r="P16" i="20"/>
  <c r="D26" i="23" s="1"/>
  <c r="V10" i="25" s="1"/>
  <c r="P16" i="19"/>
  <c r="B26" i="23" s="1"/>
  <c r="P10" i="24" s="1"/>
  <c r="C41" i="22"/>
  <c r="F42" i="22"/>
  <c r="E42" i="22"/>
  <c r="C31" i="21"/>
  <c r="B7" i="23" s="1"/>
  <c r="E32" i="21"/>
  <c r="F42" i="21"/>
  <c r="C41" i="21"/>
  <c r="E42" i="21"/>
  <c r="F32" i="21" l="1"/>
  <c r="C31" i="22"/>
  <c r="C30" i="22" s="1"/>
  <c r="E32" i="22"/>
  <c r="B43" i="23"/>
  <c r="S8" i="24" s="1"/>
  <c r="R14" i="19"/>
  <c r="Q15" i="20"/>
  <c r="D25" i="23"/>
  <c r="V9" i="25" s="1"/>
  <c r="Q15" i="19"/>
  <c r="B25" i="23"/>
  <c r="P9" i="24" s="1"/>
  <c r="C30" i="21"/>
  <c r="B6" i="23" s="1"/>
  <c r="F31" i="21"/>
  <c r="E31" i="21"/>
  <c r="C40" i="21"/>
  <c r="F41" i="21"/>
  <c r="E41" i="21"/>
  <c r="C40" i="22"/>
  <c r="F41" i="22"/>
  <c r="E41" i="22"/>
  <c r="E31" i="22" l="1"/>
  <c r="F31" i="22"/>
  <c r="R15" i="20"/>
  <c r="E44" i="23"/>
  <c r="Y9" i="25" s="1"/>
  <c r="R15" i="19"/>
  <c r="B44" i="23"/>
  <c r="S9" i="24" s="1"/>
  <c r="C39" i="21"/>
  <c r="F40" i="21"/>
  <c r="E40" i="21"/>
  <c r="C29" i="22"/>
  <c r="F30" i="22"/>
  <c r="E30" i="22"/>
  <c r="C39" i="22"/>
  <c r="F40" i="22"/>
  <c r="E40" i="22"/>
  <c r="C29" i="21"/>
  <c r="B5" i="23" s="1"/>
  <c r="F30" i="21"/>
  <c r="E30" i="21"/>
  <c r="C28" i="22" l="1"/>
  <c r="F29" i="22"/>
  <c r="E29" i="22"/>
  <c r="C38" i="22"/>
  <c r="F39" i="22"/>
  <c r="E39" i="22"/>
  <c r="C28" i="21"/>
  <c r="B4" i="23" s="1"/>
  <c r="F29" i="21"/>
  <c r="E29" i="21"/>
  <c r="C38" i="21"/>
  <c r="E39" i="21"/>
  <c r="F39" i="21"/>
  <c r="C37" i="22" l="1"/>
  <c r="F38" i="22"/>
  <c r="E38" i="22"/>
  <c r="C27" i="21"/>
  <c r="B3" i="23" s="1"/>
  <c r="F28" i="21"/>
  <c r="E28" i="21"/>
  <c r="C37" i="21"/>
  <c r="F38" i="21"/>
  <c r="E38" i="21"/>
  <c r="C27" i="22"/>
  <c r="F28" i="22"/>
  <c r="E28" i="22"/>
  <c r="F27" i="21" l="1"/>
  <c r="F33" i="21" s="1"/>
  <c r="E27" i="21"/>
  <c r="E33" i="21" s="1"/>
  <c r="F27" i="22"/>
  <c r="F33" i="22" s="1"/>
  <c r="E27" i="22"/>
  <c r="E33" i="22" s="1"/>
  <c r="F37" i="21"/>
  <c r="F43" i="21" s="1"/>
  <c r="E37" i="21"/>
  <c r="E43" i="21" s="1"/>
  <c r="F37" i="22"/>
  <c r="F43" i="22" s="1"/>
  <c r="E37" i="22"/>
  <c r="E43" i="22" s="1"/>
  <c r="G44" i="22" l="1"/>
  <c r="G34" i="22"/>
  <c r="G34" i="21"/>
  <c r="Q44" i="23" l="1"/>
  <c r="O44" i="23"/>
  <c r="Q43" i="23"/>
  <c r="O43" i="23"/>
  <c r="Q42" i="23"/>
  <c r="O42" i="23"/>
  <c r="Q41" i="23"/>
  <c r="O41" i="23"/>
  <c r="Q40" i="23"/>
  <c r="O40" i="23"/>
  <c r="Q39" i="23"/>
  <c r="O39" i="23"/>
  <c r="M44" i="23"/>
  <c r="K44" i="23"/>
  <c r="M43" i="23"/>
  <c r="K43" i="23"/>
  <c r="M42" i="23"/>
  <c r="K42" i="23"/>
  <c r="M41" i="23"/>
  <c r="K41" i="23"/>
  <c r="M40" i="23"/>
  <c r="K40" i="23"/>
  <c r="M39" i="23"/>
  <c r="K39" i="23"/>
  <c r="F50" i="23" l="1"/>
  <c r="L50" i="23"/>
  <c r="B50" i="23"/>
  <c r="N50" i="23"/>
  <c r="P50" i="23" s="1"/>
  <c r="J59" i="23" l="1"/>
  <c r="D59" i="23"/>
  <c r="D50" i="23"/>
  <c r="N59" i="23"/>
  <c r="L59" i="23"/>
  <c r="J50" i="23"/>
  <c r="F59" i="23"/>
  <c r="B59" i="23"/>
  <c r="H50" i="23"/>
  <c r="H59" i="23"/>
  <c r="D62" i="23" l="1"/>
  <c r="D60" i="23"/>
  <c r="D61" i="23"/>
  <c r="J61" i="23" l="1"/>
  <c r="J62" i="23"/>
  <c r="J60" i="23"/>
  <c r="N61" i="23"/>
  <c r="N62" i="23"/>
  <c r="N60" i="23"/>
  <c r="B61" i="23"/>
  <c r="B62" i="23"/>
  <c r="B60" i="23"/>
  <c r="F61" i="23"/>
  <c r="F62" i="23"/>
  <c r="F60" i="23"/>
  <c r="L62" i="23"/>
  <c r="L60" i="23"/>
  <c r="L61" i="23"/>
  <c r="H62" i="23"/>
  <c r="H60" i="23"/>
  <c r="H61" i="23"/>
  <c r="B12" i="23" l="1"/>
  <c r="D12" i="23"/>
  <c r="H63" i="23" l="1"/>
  <c r="F54" i="23"/>
  <c r="N53" i="23" l="1"/>
  <c r="P53" i="23" s="1"/>
  <c r="N51" i="23"/>
  <c r="P51" i="23" s="1"/>
  <c r="N52" i="23"/>
  <c r="P52" i="23" s="1"/>
  <c r="L51" i="23"/>
  <c r="L52" i="23"/>
  <c r="L53" i="23"/>
  <c r="D63" i="23"/>
  <c r="F63" i="23"/>
  <c r="B54" i="23"/>
  <c r="J54" i="23"/>
  <c r="D54" i="23"/>
  <c r="L63" i="23"/>
  <c r="N63" i="23"/>
  <c r="J63" i="23"/>
  <c r="B63" i="23"/>
  <c r="N54" i="23"/>
  <c r="P54" i="23" s="1"/>
  <c r="H54" i="23"/>
  <c r="L54" i="23"/>
  <c r="D52" i="23" l="1"/>
  <c r="D53" i="23"/>
  <c r="D51" i="23"/>
  <c r="H58" i="23"/>
  <c r="B52" i="23" l="1"/>
  <c r="B51" i="23"/>
  <c r="B53" i="23"/>
  <c r="F53" i="23"/>
  <c r="F51" i="23"/>
  <c r="F52" i="23"/>
  <c r="H51" i="23"/>
  <c r="H52" i="23"/>
  <c r="H53" i="23"/>
  <c r="D58" i="23"/>
  <c r="F49" i="23"/>
  <c r="F58" i="23"/>
  <c r="B58" i="23"/>
  <c r="L58" i="23"/>
  <c r="N58" i="23"/>
  <c r="J58" i="23"/>
  <c r="B49" i="23"/>
  <c r="N49" i="23"/>
  <c r="P49" i="23" s="1"/>
  <c r="J49" i="23"/>
  <c r="D49" i="23"/>
  <c r="H49" i="23"/>
  <c r="L49" i="23"/>
  <c r="J52" i="23" l="1"/>
  <c r="J51" i="23"/>
  <c r="J53" i="23"/>
</calcChain>
</file>

<file path=xl/comments1.xml><?xml version="1.0" encoding="utf-8"?>
<comments xmlns="http://schemas.openxmlformats.org/spreadsheetml/2006/main">
  <authors>
    <author>Gina</author>
  </authors>
  <commentList>
    <comment ref="M7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1 cm interno 
3 cm esterno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valore caratteristico carichi permanenti
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federica:</t>
        </r>
        <r>
          <rPr>
            <sz val="9"/>
            <color indexed="81"/>
            <rFont val="Tahoma"/>
            <family val="2"/>
          </rPr>
          <t xml:space="preserve">
carichi variabili</t>
        </r>
      </text>
    </comment>
  </commentList>
</comments>
</file>

<file path=xl/comments2.xml><?xml version="1.0" encoding="utf-8"?>
<comments xmlns="http://schemas.openxmlformats.org/spreadsheetml/2006/main">
  <authors>
    <author>utente</author>
  </authors>
  <commentList>
    <comment ref="AG30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carichi  da mettere su momcad</t>
        </r>
      </text>
    </comment>
    <comment ref="B72" authorId="0" shapeId="0">
      <text>
        <r>
          <rPr>
            <b/>
            <sz val="9"/>
            <color indexed="81"/>
            <rFont val="Tahoma"/>
            <family val="2"/>
          </rPr>
          <t xml:space="preserve">FEDERICA:
HO MESSO un SOLO solaio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4" authorId="0" shapeId="0">
      <text>
        <r>
          <rPr>
            <b/>
            <sz val="9"/>
            <color indexed="81"/>
            <rFont val="Tahoma"/>
            <family val="2"/>
          </rPr>
          <t xml:space="preserve">federica:
</t>
        </r>
        <r>
          <rPr>
            <b/>
            <sz val="8"/>
            <color indexed="81"/>
            <rFont val="Tahoma"/>
            <family val="2"/>
          </rPr>
          <t>trave app su un'altra trave si mette??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<sst xmlns="http://schemas.openxmlformats.org/spreadsheetml/2006/main" count="3612" uniqueCount="428">
  <si>
    <t>s[m]=</t>
  </si>
  <si>
    <t>L_max [m]=</t>
  </si>
  <si>
    <t>PESO PROPRIO VALORE CARATTERISTICO</t>
  </si>
  <si>
    <t>SOLETTA</t>
  </si>
  <si>
    <t>spessore [m]</t>
  </si>
  <si>
    <t>peso proprio [KN/m2]</t>
  </si>
  <si>
    <t>PIGNATTE</t>
  </si>
  <si>
    <t>larghezza[m]</t>
  </si>
  <si>
    <t>alette[m]</t>
  </si>
  <si>
    <t>larghezz tot</t>
  </si>
  <si>
    <t>spessore[m]</t>
  </si>
  <si>
    <t>altezza[m]</t>
  </si>
  <si>
    <t>peso[KN]</t>
  </si>
  <si>
    <t>n pignatte su m2</t>
  </si>
  <si>
    <t>peso proprio[KN/m2]</t>
  </si>
  <si>
    <t>TRAVETTI</t>
  </si>
  <si>
    <t>n travetti per m</t>
  </si>
  <si>
    <t xml:space="preserve"> peso specifico clc [KN/m3]</t>
  </si>
  <si>
    <t>peso specifico clc [KN/m3]</t>
  </si>
  <si>
    <t>MASSETTO ALLEGGERITO</t>
  </si>
  <si>
    <t>PAVIMENTO(granito)</t>
  </si>
  <si>
    <t>TOTALE</t>
  </si>
  <si>
    <t>INTONACO</t>
  </si>
  <si>
    <t>TAMPONATURA</t>
  </si>
  <si>
    <t xml:space="preserve">pignatta 1 </t>
  </si>
  <si>
    <t>pignatta 2</t>
  </si>
  <si>
    <t>peso specifico [KN/m3]</t>
  </si>
  <si>
    <t>peso specifico[KN/m3]</t>
  </si>
  <si>
    <t>soessire [m]</t>
  </si>
  <si>
    <t>altezza [m]</t>
  </si>
  <si>
    <t>peso proprio [KN/m]</t>
  </si>
  <si>
    <t>MASSETTO</t>
  </si>
  <si>
    <t xml:space="preserve">altezza [m] </t>
  </si>
  <si>
    <t>peso solaio a detrarre</t>
  </si>
  <si>
    <t>tamponatura [KN/m]</t>
  </si>
  <si>
    <t>trave a spessore [KN/m]</t>
  </si>
  <si>
    <t>scala [KN/m2]</t>
  </si>
  <si>
    <t>gk</t>
  </si>
  <si>
    <t>qk</t>
  </si>
  <si>
    <t>gd</t>
  </si>
  <si>
    <t>gd tramezzi</t>
  </si>
  <si>
    <t>qd</t>
  </si>
  <si>
    <t>qd+gd</t>
  </si>
  <si>
    <t>y2</t>
  </si>
  <si>
    <t>IN ASSENZA DI SISMA</t>
  </si>
  <si>
    <t>CON SISMA</t>
  </si>
  <si>
    <r>
      <t>g</t>
    </r>
    <r>
      <rPr>
        <b/>
        <sz val="11"/>
        <color theme="1"/>
        <rFont val="Cambria"/>
        <family val="1"/>
        <scheme val="major"/>
      </rPr>
      <t>g</t>
    </r>
  </si>
  <si>
    <r>
      <t>g</t>
    </r>
    <r>
      <rPr>
        <b/>
        <sz val="11"/>
        <color theme="1"/>
        <rFont val="Cambria"/>
        <family val="1"/>
        <scheme val="major"/>
      </rPr>
      <t>q</t>
    </r>
  </si>
  <si>
    <t>/</t>
  </si>
  <si>
    <t>Altezza solaio =</t>
  </si>
  <si>
    <t>Altezza interpiano=</t>
  </si>
  <si>
    <t>m</t>
  </si>
  <si>
    <t>gdsolaio+gdtramezz</t>
  </si>
  <si>
    <t>peso proprio</t>
  </si>
  <si>
    <t>larghezza [m]</t>
  </si>
  <si>
    <t>totale</t>
  </si>
  <si>
    <t>solaio</t>
  </si>
  <si>
    <t>solaio piano tipo [KN/m2]</t>
  </si>
  <si>
    <t>solaio terrazza [KN/m2]</t>
  </si>
  <si>
    <t>solaio copertura torrino [KN/m2]</t>
  </si>
  <si>
    <t>sovraccarichi permanenti torrino</t>
  </si>
  <si>
    <t>massetto</t>
  </si>
  <si>
    <t>spessore</t>
  </si>
  <si>
    <t>peso specifico</t>
  </si>
  <si>
    <t>intonaco</t>
  </si>
  <si>
    <t>PAVIMENTO(gres)</t>
  </si>
  <si>
    <t xml:space="preserve">SOLAIO  piano tipo </t>
  </si>
  <si>
    <t xml:space="preserve">travetti </t>
  </si>
  <si>
    <t>pignatte</t>
  </si>
  <si>
    <t>soletta</t>
  </si>
  <si>
    <t>terrazza valore caratterristico</t>
  </si>
  <si>
    <t>terrazza sovracc permanenti</t>
  </si>
  <si>
    <t xml:space="preserve">pavimento </t>
  </si>
  <si>
    <t xml:space="preserve">intonaco </t>
  </si>
  <si>
    <t xml:space="preserve">SOVRACCARICHI PERMANENTI VALORE CARATTERISTICO </t>
  </si>
  <si>
    <t xml:space="preserve">PESO PROPRIO VALORE CARATTERISTICO </t>
  </si>
  <si>
    <t>Campata</t>
  </si>
  <si>
    <t>scala</t>
  </si>
  <si>
    <t>trave emergente</t>
  </si>
  <si>
    <t>trave a spessore</t>
  </si>
  <si>
    <t>tamponatura</t>
  </si>
  <si>
    <t>3-7, 7-11</t>
  </si>
  <si>
    <t>TRAVE  emergente 30x60</t>
  </si>
  <si>
    <t>TRAVE  a spessore 60x22</t>
  </si>
  <si>
    <t>Trave emergente 30x50</t>
  </si>
  <si>
    <t>larghezza</t>
  </si>
  <si>
    <t>trave emergente [KN/m] 30x60</t>
  </si>
  <si>
    <t>trave emergente [KN/m] 30x50</t>
  </si>
  <si>
    <t>3-7</t>
  </si>
  <si>
    <t>g1k</t>
  </si>
  <si>
    <t>gksol+gktram</t>
  </si>
  <si>
    <r>
      <t>gk+</t>
    </r>
    <r>
      <rPr>
        <sz val="8"/>
        <rFont val="Symbol"/>
        <family val="1"/>
        <charset val="2"/>
      </rPr>
      <t>y</t>
    </r>
    <r>
      <rPr>
        <sz val="8"/>
        <rFont val="Arial"/>
        <family val="2"/>
      </rPr>
      <t>2</t>
    </r>
    <r>
      <rPr>
        <sz val="8"/>
        <rFont val="Arial"/>
        <family val="2"/>
      </rPr>
      <t xml:space="preserve"> </t>
    </r>
    <r>
      <rPr>
        <sz val="8"/>
        <rFont val="Arial"/>
        <family val="2"/>
      </rPr>
      <t>qk</t>
    </r>
  </si>
  <si>
    <t>gd+qd</t>
  </si>
  <si>
    <t>impalcato</t>
  </si>
  <si>
    <t>SBALZO piano tipo</t>
  </si>
  <si>
    <t>5</t>
  </si>
  <si>
    <t>4-2</t>
  </si>
  <si>
    <t>7-11</t>
  </si>
  <si>
    <t>15-19, 19-23, 23-27</t>
  </si>
  <si>
    <t>15-19</t>
  </si>
  <si>
    <t>g2k tramezzi</t>
  </si>
  <si>
    <t>19-23</t>
  </si>
  <si>
    <t>23-27</t>
  </si>
  <si>
    <t>2-6, 6-10</t>
  </si>
  <si>
    <t>14-18,18-22, 22-26</t>
  </si>
  <si>
    <t>14-18</t>
  </si>
  <si>
    <t>18-22, 22-26</t>
  </si>
  <si>
    <t>9-13,13-17, 17-21, 21-25</t>
  </si>
  <si>
    <t>9-13, 17-21,21-25</t>
  </si>
  <si>
    <t>13-17</t>
  </si>
  <si>
    <t>TELAIO 1</t>
  </si>
  <si>
    <t>TELAIO 2</t>
  </si>
  <si>
    <t>TELAIO 4</t>
  </si>
  <si>
    <t>TELAIO 5</t>
  </si>
  <si>
    <t>TELAIO 3</t>
  </si>
  <si>
    <t>TELAIO 6</t>
  </si>
  <si>
    <t>1-5</t>
  </si>
  <si>
    <t>TELAI 7-8</t>
  </si>
  <si>
    <t>4-8,20-24</t>
  </si>
  <si>
    <t>8-12, 16-20</t>
  </si>
  <si>
    <t>TELAIO 9</t>
  </si>
  <si>
    <t>1-2,2-3</t>
  </si>
  <si>
    <t>1-2</t>
  </si>
  <si>
    <t>2-3</t>
  </si>
  <si>
    <t>TELAIO 10</t>
  </si>
  <si>
    <t>4-5,5-6,6-7</t>
  </si>
  <si>
    <t>4-5</t>
  </si>
  <si>
    <t>5-6</t>
  </si>
  <si>
    <t>6-7</t>
  </si>
  <si>
    <t>TELAIO 11</t>
  </si>
  <si>
    <t>8-9,9-10,10-11</t>
  </si>
  <si>
    <t>8-9</t>
  </si>
  <si>
    <t>9-10</t>
  </si>
  <si>
    <t>10-11</t>
  </si>
  <si>
    <t>12-13,13-14,14-15</t>
  </si>
  <si>
    <t>16-17,17-18,18-19</t>
  </si>
  <si>
    <t xml:space="preserve">TELAI 12 </t>
  </si>
  <si>
    <t>12-13,</t>
  </si>
  <si>
    <t>13-14</t>
  </si>
  <si>
    <t>14-15</t>
  </si>
  <si>
    <t>TELAI 13</t>
  </si>
  <si>
    <t>16-17</t>
  </si>
  <si>
    <t>17-18</t>
  </si>
  <si>
    <t>TELAI 14</t>
  </si>
  <si>
    <t>18-19</t>
  </si>
  <si>
    <t>20-21,21-22,22-23</t>
  </si>
  <si>
    <t>20-21</t>
  </si>
  <si>
    <t>21-22</t>
  </si>
  <si>
    <t>22-23</t>
  </si>
  <si>
    <t>TELAI 15</t>
  </si>
  <si>
    <t>24-25,25-26,26-27</t>
  </si>
  <si>
    <t>24-25</t>
  </si>
  <si>
    <t>25-26, 26.27</t>
  </si>
  <si>
    <t>solaio no</t>
  </si>
  <si>
    <t>peso proprio [KN]</t>
  </si>
  <si>
    <t xml:space="preserve">PILASTRO 30x70 </t>
  </si>
  <si>
    <t>dal 2° al 4°</t>
  </si>
  <si>
    <t>al 1° ordine</t>
  </si>
  <si>
    <t xml:space="preserve">dal 5° al 6° ordine </t>
  </si>
  <si>
    <t>pilastro 30x70 [KN] 2°-4°</t>
  </si>
  <si>
    <t>pilastro 30x70 [KN] 1°</t>
  </si>
  <si>
    <t>pilastro 30x70 [KN] 5°-6°</t>
  </si>
  <si>
    <t>pilastro</t>
  </si>
  <si>
    <t>sx</t>
  </si>
  <si>
    <t xml:space="preserve"> dx</t>
  </si>
  <si>
    <t xml:space="preserve">alto </t>
  </si>
  <si>
    <t>basso</t>
  </si>
  <si>
    <t>luce x [m]</t>
  </si>
  <si>
    <t>luce y [m]</t>
  </si>
  <si>
    <t>6°-5° impalcato</t>
  </si>
  <si>
    <t>4°-2° impalcato</t>
  </si>
  <si>
    <t>1° impalcato</t>
  </si>
  <si>
    <t>masse di impalcato</t>
  </si>
  <si>
    <t>torrino</t>
  </si>
  <si>
    <t>pilastro 30x30</t>
  </si>
  <si>
    <t>2° e 4°</t>
  </si>
  <si>
    <t>1°</t>
  </si>
  <si>
    <t>5° e 6°</t>
  </si>
  <si>
    <t>KN</t>
  </si>
  <si>
    <t>pilastro 30x30 [KN] 1</t>
  </si>
  <si>
    <t>pilastro 30x30 [KN] 2-4</t>
  </si>
  <si>
    <t>pilastro 30x30 [KN] 5-6</t>
  </si>
  <si>
    <t>tramezzi [KN/m]</t>
  </si>
  <si>
    <t>sbalzo di copert cornicione[KN/m2]</t>
  </si>
  <si>
    <t>cornicione</t>
  </si>
  <si>
    <t>travi 30x50</t>
  </si>
  <si>
    <t>travi a spessorre</t>
  </si>
  <si>
    <t>tamponatura sup</t>
  </si>
  <si>
    <t>tamponatura inf</t>
  </si>
  <si>
    <t>tramezzi inf</t>
  </si>
  <si>
    <t>pilastro 30x70 sup</t>
  </si>
  <si>
    <t>pilastri 30x70 inf</t>
  </si>
  <si>
    <t>pilastri 30x30 inf</t>
  </si>
  <si>
    <t>[m2]</t>
  </si>
  <si>
    <t>[m]</t>
  </si>
  <si>
    <t>tramezzi sup</t>
  </si>
  <si>
    <t>pilastri 30x30 sup</t>
  </si>
  <si>
    <t>travi 30x60</t>
  </si>
  <si>
    <t>1</t>
  </si>
  <si>
    <t>masse impalcato</t>
  </si>
  <si>
    <t>trave 30x50</t>
  </si>
  <si>
    <t xml:space="preserve">piano </t>
  </si>
  <si>
    <t>6+torrino</t>
  </si>
  <si>
    <t>massa</t>
  </si>
  <si>
    <t>peso W KN</t>
  </si>
  <si>
    <t>area A[m2]</t>
  </si>
  <si>
    <t>W/A</t>
  </si>
  <si>
    <t>area[m2]</t>
  </si>
  <si>
    <t xml:space="preserve">torrino </t>
  </si>
  <si>
    <t>terrazza</t>
  </si>
  <si>
    <t>p.tipo</t>
  </si>
  <si>
    <t>p.terra</t>
  </si>
  <si>
    <t>inglobo il torrino scala al sesto piano</t>
  </si>
  <si>
    <t>area[m2]=</t>
  </si>
  <si>
    <t>IMPALCATO</t>
  </si>
  <si>
    <t>SUPERFICIE</t>
  </si>
  <si>
    <t>PESO UNITARIO</t>
  </si>
  <si>
    <t>PESO IMPALCATO</t>
  </si>
  <si>
    <t>MASSA</t>
  </si>
  <si>
    <t>z</t>
  </si>
  <si>
    <t>Wz</t>
  </si>
  <si>
    <t>V</t>
  </si>
  <si>
    <t>b</t>
  </si>
  <si>
    <t>Vpil</t>
  </si>
  <si>
    <t>Mpil</t>
  </si>
  <si>
    <t>Mtrave</t>
  </si>
  <si>
    <t>∆N(KN)</t>
  </si>
  <si>
    <t>1 testa</t>
  </si>
  <si>
    <t>tot</t>
  </si>
  <si>
    <t>1 piede</t>
  </si>
  <si>
    <t>C1=</t>
  </si>
  <si>
    <t>H=</t>
  </si>
  <si>
    <t>&lt;---- senza torrino</t>
  </si>
  <si>
    <t>T1=</t>
  </si>
  <si>
    <t>hpiano =</t>
  </si>
  <si>
    <t>hpiano terra</t>
  </si>
  <si>
    <t>Vb=</t>
  </si>
  <si>
    <t>l trave</t>
  </si>
  <si>
    <t>N pilastri =</t>
  </si>
  <si>
    <t>direzione x=</t>
  </si>
  <si>
    <t>direzione y=</t>
  </si>
  <si>
    <t xml:space="preserve">pilastri che contano </t>
  </si>
  <si>
    <t>sd=</t>
  </si>
  <si>
    <t>classe di duttilità A</t>
  </si>
  <si>
    <t>e acc x</t>
  </si>
  <si>
    <t>e acc y</t>
  </si>
  <si>
    <t>Mx</t>
  </si>
  <si>
    <t>My</t>
  </si>
  <si>
    <t xml:space="preserve">Campata campata </t>
  </si>
  <si>
    <t>A</t>
  </si>
  <si>
    <t>B</t>
  </si>
  <si>
    <t xml:space="preserve">Forza concentrata </t>
  </si>
  <si>
    <t>Qmedia</t>
  </si>
  <si>
    <t>valore caratteristico torrino</t>
  </si>
  <si>
    <t xml:space="preserve">Campata </t>
  </si>
  <si>
    <t>RIEPILOGO</t>
  </si>
  <si>
    <t>2-6</t>
  </si>
  <si>
    <t>6-10</t>
  </si>
  <si>
    <t>18-22</t>
  </si>
  <si>
    <t>22-26</t>
  </si>
  <si>
    <t>9-13</t>
  </si>
  <si>
    <t>17-21</t>
  </si>
  <si>
    <t>21-25</t>
  </si>
  <si>
    <t>4-8</t>
  </si>
  <si>
    <t>8-12</t>
  </si>
  <si>
    <t>16-20</t>
  </si>
  <si>
    <t>20-24</t>
  </si>
  <si>
    <t>25-26</t>
  </si>
  <si>
    <t>26-27</t>
  </si>
  <si>
    <t>carico permanente strutturale</t>
  </si>
  <si>
    <t>sovraccarico permanente</t>
  </si>
  <si>
    <t>gradino</t>
  </si>
  <si>
    <t>travetti</t>
  </si>
  <si>
    <t>laterizi</t>
  </si>
  <si>
    <t>inclinazione 28 gradi cos 28=0,88</t>
  </si>
  <si>
    <t>lunghezza [m]</t>
  </si>
  <si>
    <t>alzata</t>
  </si>
  <si>
    <t>pedata</t>
  </si>
  <si>
    <t xml:space="preserve"> peso specifico  [KN/m3]</t>
  </si>
  <si>
    <t xml:space="preserve"> peso specifico [KN/m3]</t>
  </si>
  <si>
    <t>marmo</t>
  </si>
  <si>
    <t>y</t>
  </si>
  <si>
    <t>x</t>
  </si>
  <si>
    <r>
      <rPr>
        <b/>
        <sz val="11"/>
        <rFont val="Symbol"/>
        <family val="1"/>
        <charset val="2"/>
      </rPr>
      <t>y2</t>
    </r>
    <r>
      <rPr>
        <b/>
        <sz val="11"/>
        <rFont val="Cambria"/>
        <family val="1"/>
        <scheme val="major"/>
      </rPr>
      <t>qk</t>
    </r>
  </si>
  <si>
    <r>
      <t>gk+</t>
    </r>
    <r>
      <rPr>
        <b/>
        <sz val="11"/>
        <rFont val="Symbol"/>
        <family val="1"/>
        <charset val="2"/>
      </rPr>
      <t>y</t>
    </r>
    <r>
      <rPr>
        <b/>
        <sz val="11"/>
        <rFont val="Calibri"/>
        <family val="2"/>
        <scheme val="minor"/>
      </rPr>
      <t>2qk</t>
    </r>
  </si>
  <si>
    <t>uso questo</t>
  </si>
  <si>
    <t>TX=</t>
  </si>
  <si>
    <t>30x 80 2 travi emergenti in x P23</t>
  </si>
  <si>
    <t xml:space="preserve">Direzione x piano tipo </t>
  </si>
  <si>
    <t>Direzione x piano terra</t>
  </si>
  <si>
    <t xml:space="preserve">Direzione x </t>
  </si>
  <si>
    <t xml:space="preserve">30x80 1 trave emergente inx P3 </t>
  </si>
  <si>
    <t>Pilatsro</t>
  </si>
  <si>
    <t>2 travi emergenti</t>
  </si>
  <si>
    <t>1 trave emergente</t>
  </si>
  <si>
    <t>travi a spessore</t>
  </si>
  <si>
    <t xml:space="preserve">80x30 1 trave emergente in x P13 </t>
  </si>
  <si>
    <t>30x70</t>
  </si>
  <si>
    <t>30x80</t>
  </si>
  <si>
    <t>80x30 2 travi a aspessore in x P22</t>
  </si>
  <si>
    <t>70x30</t>
  </si>
  <si>
    <t>80x30</t>
  </si>
  <si>
    <t>80x30 1 trave a spessore in x P2</t>
  </si>
  <si>
    <t>K(30x70)</t>
  </si>
  <si>
    <t>delle 9 pilastri  80x30 in x 5 hanno 2 travi a spessore e 4 ne hanno solo 1</t>
  </si>
  <si>
    <t>30x80 2 travi emergenti in y P6</t>
  </si>
  <si>
    <t>K(70x30)</t>
  </si>
  <si>
    <t>2trav a sp</t>
  </si>
  <si>
    <t xml:space="preserve">Direzione y </t>
  </si>
  <si>
    <t>30x80 1 trave emergente in y P13</t>
  </si>
  <si>
    <t>1trav a sp</t>
  </si>
  <si>
    <t>80x30 2 travi emergenti in y P14</t>
  </si>
  <si>
    <t xml:space="preserve">Direzione y piano tipo </t>
  </si>
  <si>
    <t>Direzione y piano terra</t>
  </si>
  <si>
    <t>80x30 1 trave emergente in y P8</t>
  </si>
  <si>
    <t>80x30 trave a spessore in y P4</t>
  </si>
  <si>
    <t>delle 9 pilastri  80x30 in x hanno</t>
  </si>
  <si>
    <t>2 travi a spessore=</t>
  </si>
  <si>
    <t>Direzione x terrazza</t>
  </si>
  <si>
    <t>Direzione x piano 5</t>
  </si>
  <si>
    <t>1 trave a spessore=</t>
  </si>
  <si>
    <t>Ordine</t>
  </si>
  <si>
    <t>Kx [KN/mm2]</t>
  </si>
  <si>
    <t>Ky [KN/mm2]</t>
  </si>
  <si>
    <t>travi x</t>
  </si>
  <si>
    <t>travi y</t>
  </si>
  <si>
    <t>Direzione y terrazza</t>
  </si>
  <si>
    <t>Direzione y piano 5</t>
  </si>
  <si>
    <t>drx(mm)</t>
  </si>
  <si>
    <t>ux(mm)</t>
  </si>
  <si>
    <t>Fu</t>
  </si>
  <si>
    <t>mu2</t>
  </si>
  <si>
    <t>somma</t>
  </si>
  <si>
    <t>Tx=</t>
  </si>
  <si>
    <t>dry(mm)</t>
  </si>
  <si>
    <t>uy(mm)</t>
  </si>
  <si>
    <t>Ty=</t>
  </si>
  <si>
    <t>tramezzi</t>
  </si>
  <si>
    <t>mattone</t>
  </si>
  <si>
    <t>terrazzino</t>
  </si>
  <si>
    <t>terrazzino/corn</t>
  </si>
  <si>
    <t>Fx</t>
  </si>
  <si>
    <t>SPOSTAMENTI</t>
  </si>
  <si>
    <t>PREVISIONE</t>
  </si>
  <si>
    <t>TeL STAT x</t>
  </si>
  <si>
    <t>TEL STAT y</t>
  </si>
  <si>
    <t>ux</t>
  </si>
  <si>
    <t>Fy</t>
  </si>
  <si>
    <t>Tx</t>
  </si>
  <si>
    <t>Ty</t>
  </si>
  <si>
    <t>uy</t>
  </si>
  <si>
    <t>Fxux</t>
  </si>
  <si>
    <t>Fyuy</t>
  </si>
  <si>
    <t>m(ux2)</t>
  </si>
  <si>
    <t>m(uy2)</t>
  </si>
  <si>
    <t>PERIODO</t>
  </si>
  <si>
    <t>PREVISIONE x</t>
  </si>
  <si>
    <t>TEL STAT x</t>
  </si>
  <si>
    <t>PREVISIONE Y</t>
  </si>
  <si>
    <t>TEL STAT</t>
  </si>
  <si>
    <t>PREVISONE</t>
  </si>
  <si>
    <t>RAPPORTO</t>
  </si>
  <si>
    <t>INCREMENTO</t>
  </si>
  <si>
    <t>MOMENTI PILASTRO</t>
  </si>
  <si>
    <t>PREVISIONE y</t>
  </si>
  <si>
    <t>TAGLIO PILASTRO</t>
  </si>
  <si>
    <t xml:space="preserve">MOMENTO TRAVE </t>
  </si>
  <si>
    <t>TEL STAT x SX</t>
  </si>
  <si>
    <t>TEL STAT X DX</t>
  </si>
  <si>
    <t>TEL STAT y SX</t>
  </si>
  <si>
    <t>TEL STAT y DX</t>
  </si>
  <si>
    <t xml:space="preserve">rigidezza telaio 1 x </t>
  </si>
  <si>
    <t xml:space="preserve">rigidezza telaio 2 x </t>
  </si>
  <si>
    <t xml:space="preserve">rigidezza telaio 3 x </t>
  </si>
  <si>
    <t xml:space="preserve">rigidezza telaio 4x </t>
  </si>
  <si>
    <t xml:space="preserve">rigidezza telaio 5x </t>
  </si>
  <si>
    <t xml:space="preserve">rigidezza telaio 6x </t>
  </si>
  <si>
    <t xml:space="preserve">rigidezza telaio 7x </t>
  </si>
  <si>
    <t xml:space="preserve">rigidezza telaio 8x </t>
  </si>
  <si>
    <t>ordine</t>
  </si>
  <si>
    <t>previsione</t>
  </si>
  <si>
    <t>Analisi statica</t>
  </si>
  <si>
    <t xml:space="preserve">rigidezza telaio 9 y </t>
  </si>
  <si>
    <t xml:space="preserve">rigidezza telaio 10 y </t>
  </si>
  <si>
    <t xml:space="preserve">rigidezza telaio 11 y </t>
  </si>
  <si>
    <t xml:space="preserve">rigidezza telaio 12 y </t>
  </si>
  <si>
    <t xml:space="preserve">rigidezza telaio 13 y </t>
  </si>
  <si>
    <t xml:space="preserve">rigidezza telaio 14 y </t>
  </si>
  <si>
    <t xml:space="preserve">rigidezza telaio 15 y </t>
  </si>
  <si>
    <t>TEL MOD X</t>
  </si>
  <si>
    <t>TEL MOD Y</t>
  </si>
  <si>
    <t>TEL MOD X SX</t>
  </si>
  <si>
    <t>TEL MOD X DX</t>
  </si>
  <si>
    <t>TEL MOD Y SX</t>
  </si>
  <si>
    <t>TEL MOD Y DX</t>
  </si>
  <si>
    <t>sd x SLU</t>
  </si>
  <si>
    <t>sd y SLU</t>
  </si>
  <si>
    <t>sdx  SLD</t>
  </si>
  <si>
    <t>sdy SLD</t>
  </si>
  <si>
    <t>rappoto</t>
  </si>
  <si>
    <t>spstamento accettabile</t>
  </si>
  <si>
    <t>[mm]</t>
  </si>
  <si>
    <t>spostamneto relativo massimo tra  II e I impalcato</t>
  </si>
  <si>
    <t>raggio gir</t>
  </si>
  <si>
    <t>Telaio</t>
  </si>
  <si>
    <t>Pilastro</t>
  </si>
  <si>
    <t>Piano</t>
  </si>
  <si>
    <t>Msup</t>
  </si>
  <si>
    <t>telaio 2</t>
  </si>
  <si>
    <t>telaio 7</t>
  </si>
  <si>
    <t>1piede</t>
  </si>
  <si>
    <t>piano</t>
  </si>
  <si>
    <t>pilastri</t>
  </si>
  <si>
    <t>Estr.1</t>
  </si>
  <si>
    <t>Estr.2</t>
  </si>
  <si>
    <t>Msin</t>
  </si>
  <si>
    <t>Mdes</t>
  </si>
  <si>
    <t>travi</t>
  </si>
  <si>
    <t>telaio2</t>
  </si>
  <si>
    <t>momenti pilastri</t>
  </si>
  <si>
    <t>momenti travi</t>
  </si>
  <si>
    <t>Minf</t>
  </si>
  <si>
    <t>telaio 9</t>
  </si>
  <si>
    <t>telaio 15</t>
  </si>
  <si>
    <t>1testa</t>
  </si>
  <si>
    <t>momento pilastri</t>
  </si>
  <si>
    <t>momento travi</t>
  </si>
  <si>
    <t xml:space="preserve">terrazino piano tipo [KN/m2]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</si>
</sst>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0.7999816888943144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Symbol"/>
      <family val="1"/>
      <charset val="2"/>
    </font>
    <font>
      <b/>
      <sz val="11"/>
      <color theme="1"/>
      <name val="Cambria"/>
      <family val="1"/>
      <scheme val="maj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8"/>
      <name val="Symbol"/>
      <family val="1"/>
      <charset val="2"/>
    </font>
    <font>
      <sz val="8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Cambria"/>
      <family val="1"/>
      <scheme val="maj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0" fillId="2" borderId="1" xfId="0" applyFill="1" applyBorder="1"/>
    <xf numFmtId="2" fontId="0" fillId="2" borderId="1" xfId="0" applyNumberFormat="1" applyFill="1" applyBorder="1"/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6" borderId="1" xfId="0" applyFill="1" applyBorder="1"/>
    <xf numFmtId="0" fontId="5" fillId="2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8" fillId="0" borderId="0" xfId="0" applyFont="1"/>
    <xf numFmtId="0" fontId="0" fillId="0" borderId="1" xfId="0" applyBorder="1"/>
    <xf numFmtId="0" fontId="9" fillId="0" borderId="0" xfId="0" applyFont="1"/>
    <xf numFmtId="0" fontId="7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1" xfId="0" applyFont="1" applyBorder="1"/>
    <xf numFmtId="2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8" borderId="2" xfId="0" applyFill="1" applyBorder="1" applyAlignment="1">
      <alignment horizontal="center"/>
    </xf>
    <xf numFmtId="2" fontId="0" fillId="6" borderId="2" xfId="0" applyNumberFormat="1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2" fontId="0" fillId="6" borderId="4" xfId="0" applyNumberFormat="1" applyFill="1" applyBorder="1" applyAlignment="1">
      <alignment horizontal="center"/>
    </xf>
    <xf numFmtId="2" fontId="1" fillId="6" borderId="2" xfId="0" applyNumberFormat="1" applyFont="1" applyFill="1" applyBorder="1" applyAlignment="1">
      <alignment horizontal="center"/>
    </xf>
    <xf numFmtId="2" fontId="1" fillId="6" borderId="3" xfId="0" applyNumberFormat="1" applyFont="1" applyFill="1" applyBorder="1" applyAlignment="1">
      <alignment horizontal="center"/>
    </xf>
    <xf numFmtId="2" fontId="1" fillId="6" borderId="4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49" fontId="14" fillId="0" borderId="0" xfId="0" applyNumberFormat="1" applyFont="1" applyAlignment="1">
      <alignment horizontal="center"/>
    </xf>
    <xf numFmtId="0" fontId="0" fillId="9" borderId="1" xfId="0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2" fontId="0" fillId="10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11" fillId="0" borderId="0" xfId="0" quotePrefix="1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2" fontId="14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2" fontId="11" fillId="11" borderId="0" xfId="0" applyNumberFormat="1" applyFont="1" applyFill="1" applyAlignment="1">
      <alignment horizontal="center"/>
    </xf>
    <xf numFmtId="2" fontId="0" fillId="11" borderId="0" xfId="0" applyNumberFormat="1" applyFill="1" applyAlignment="1">
      <alignment horizontal="center"/>
    </xf>
    <xf numFmtId="49" fontId="14" fillId="11" borderId="0" xfId="0" applyNumberFormat="1" applyFont="1" applyFill="1" applyAlignment="1">
      <alignment horizontal="center"/>
    </xf>
    <xf numFmtId="49" fontId="0" fillId="11" borderId="0" xfId="0" applyNumberFormat="1" applyFill="1" applyAlignment="1">
      <alignment horizontal="center"/>
    </xf>
    <xf numFmtId="2" fontId="0" fillId="11" borderId="0" xfId="0" applyNumberFormat="1" applyFill="1" applyBorder="1" applyAlignment="1">
      <alignment horizontal="center"/>
    </xf>
    <xf numFmtId="2" fontId="12" fillId="11" borderId="10" xfId="0" applyNumberFormat="1" applyFont="1" applyFill="1" applyBorder="1" applyAlignment="1">
      <alignment horizontal="center"/>
    </xf>
    <xf numFmtId="2" fontId="0" fillId="11" borderId="10" xfId="0" applyNumberFormat="1" applyFill="1" applyBorder="1" applyAlignment="1">
      <alignment horizontal="center"/>
    </xf>
    <xf numFmtId="2" fontId="0" fillId="11" borderId="6" xfId="0" applyNumberFormat="1" applyFill="1" applyBorder="1" applyAlignment="1">
      <alignment horizontal="center"/>
    </xf>
    <xf numFmtId="2" fontId="0" fillId="11" borderId="9" xfId="0" applyNumberFormat="1" applyFill="1" applyBorder="1" applyAlignment="1">
      <alignment horizontal="center"/>
    </xf>
    <xf numFmtId="2" fontId="0" fillId="13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7" fillId="11" borderId="6" xfId="0" applyNumberFormat="1" applyFont="1" applyFill="1" applyBorder="1" applyAlignment="1">
      <alignment horizontal="center"/>
    </xf>
    <xf numFmtId="2" fontId="7" fillId="12" borderId="0" xfId="0" applyNumberFormat="1" applyFont="1" applyFill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2" fillId="4" borderId="0" xfId="0" applyFont="1" applyFill="1"/>
    <xf numFmtId="164" fontId="0" fillId="0" borderId="0" xfId="0" applyNumberFormat="1" applyAlignment="1">
      <alignment horizontal="center"/>
    </xf>
    <xf numFmtId="0" fontId="0" fillId="0" borderId="0" xfId="0" applyAlignment="1"/>
    <xf numFmtId="2" fontId="14" fillId="11" borderId="0" xfId="0" applyNumberFormat="1" applyFont="1" applyFill="1" applyAlignment="1">
      <alignment horizontal="center"/>
    </xf>
    <xf numFmtId="0" fontId="0" fillId="11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6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11" borderId="0" xfId="0" applyNumberFormat="1" applyFont="1" applyFill="1" applyBorder="1" applyAlignment="1">
      <alignment horizontal="center"/>
    </xf>
    <xf numFmtId="2" fontId="1" fillId="14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1" fillId="15" borderId="0" xfId="0" applyNumberFormat="1" applyFont="1" applyFill="1" applyAlignment="1">
      <alignment horizontal="center"/>
    </xf>
    <xf numFmtId="49" fontId="1" fillId="15" borderId="0" xfId="0" applyNumberFormat="1" applyFont="1" applyFill="1" applyAlignment="1">
      <alignment horizontal="center"/>
    </xf>
    <xf numFmtId="49" fontId="1" fillId="16" borderId="0" xfId="0" applyNumberFormat="1" applyFont="1" applyFill="1" applyAlignment="1">
      <alignment horizontal="center"/>
    </xf>
    <xf numFmtId="2" fontId="1" fillId="16" borderId="0" xfId="0" applyNumberFormat="1" applyFont="1" applyFill="1" applyAlignment="1">
      <alignment horizontal="center"/>
    </xf>
    <xf numFmtId="2" fontId="1" fillId="17" borderId="0" xfId="0" applyNumberFormat="1" applyFont="1" applyFill="1" applyAlignment="1">
      <alignment horizontal="center"/>
    </xf>
    <xf numFmtId="49" fontId="1" fillId="18" borderId="0" xfId="0" applyNumberFormat="1" applyFont="1" applyFill="1" applyAlignment="1">
      <alignment horizontal="center"/>
    </xf>
    <xf numFmtId="49" fontId="1" fillId="19" borderId="0" xfId="0" applyNumberFormat="1" applyFont="1" applyFill="1" applyAlignment="1">
      <alignment horizontal="center"/>
    </xf>
    <xf numFmtId="2" fontId="0" fillId="17" borderId="0" xfId="0" applyNumberFormat="1" applyFill="1" applyAlignment="1">
      <alignment horizontal="center"/>
    </xf>
    <xf numFmtId="2" fontId="0" fillId="18" borderId="0" xfId="0" applyNumberFormat="1" applyFill="1" applyAlignment="1">
      <alignment horizontal="center"/>
    </xf>
    <xf numFmtId="2" fontId="0" fillId="19" borderId="0" xfId="0" applyNumberFormat="1" applyFill="1" applyAlignment="1">
      <alignment horizontal="center"/>
    </xf>
    <xf numFmtId="0" fontId="0" fillId="7" borderId="0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3" xfId="0" applyBorder="1" applyAlignment="1">
      <alignment horizontal="center"/>
    </xf>
    <xf numFmtId="2" fontId="1" fillId="20" borderId="0" xfId="0" applyNumberFormat="1" applyFont="1" applyFill="1" applyAlignment="1">
      <alignment horizontal="center"/>
    </xf>
    <xf numFmtId="2" fontId="0" fillId="20" borderId="0" xfId="0" applyNumberFormat="1" applyFill="1" applyAlignment="1">
      <alignment horizontal="center"/>
    </xf>
    <xf numFmtId="2" fontId="1" fillId="11" borderId="0" xfId="0" applyNumberFormat="1" applyFont="1" applyFill="1" applyAlignment="1">
      <alignment horizontal="center"/>
    </xf>
    <xf numFmtId="49" fontId="1" fillId="11" borderId="0" xfId="0" applyNumberFormat="1" applyFont="1" applyFill="1" applyAlignment="1">
      <alignment horizontal="center"/>
    </xf>
    <xf numFmtId="2" fontId="0" fillId="21" borderId="0" xfId="0" applyNumberFormat="1" applyFill="1" applyAlignment="1">
      <alignment horizontal="center"/>
    </xf>
    <xf numFmtId="49" fontId="1" fillId="10" borderId="0" xfId="0" applyNumberFormat="1" applyFont="1" applyFill="1" applyAlignment="1">
      <alignment horizontal="center"/>
    </xf>
    <xf numFmtId="2" fontId="0" fillId="5" borderId="0" xfId="0" applyNumberFormat="1" applyFill="1" applyAlignment="1">
      <alignment horizontal="center"/>
    </xf>
    <xf numFmtId="49" fontId="1" fillId="22" borderId="0" xfId="0" applyNumberFormat="1" applyFont="1" applyFill="1" applyAlignment="1">
      <alignment horizontal="center"/>
    </xf>
    <xf numFmtId="2" fontId="0" fillId="22" borderId="0" xfId="0" applyNumberFormat="1" applyFill="1" applyAlignment="1">
      <alignment horizontal="center"/>
    </xf>
    <xf numFmtId="2" fontId="0" fillId="23" borderId="0" xfId="0" applyNumberFormat="1" applyFill="1" applyAlignment="1">
      <alignment horizontal="center"/>
    </xf>
    <xf numFmtId="49" fontId="1" fillId="24" borderId="0" xfId="0" applyNumberFormat="1" applyFont="1" applyFill="1" applyAlignment="1">
      <alignment horizontal="center"/>
    </xf>
    <xf numFmtId="2" fontId="0" fillId="24" borderId="0" xfId="0" applyNumberFormat="1" applyFill="1" applyAlignment="1">
      <alignment horizontal="center"/>
    </xf>
    <xf numFmtId="49" fontId="1" fillId="25" borderId="0" xfId="0" applyNumberFormat="1" applyFont="1" applyFill="1" applyAlignment="1">
      <alignment horizontal="center"/>
    </xf>
    <xf numFmtId="2" fontId="0" fillId="25" borderId="0" xfId="0" applyNumberFormat="1" applyFill="1" applyAlignment="1">
      <alignment horizontal="center"/>
    </xf>
    <xf numFmtId="2" fontId="0" fillId="26" borderId="0" xfId="0" applyNumberFormat="1" applyFill="1" applyAlignment="1">
      <alignment horizontal="center"/>
    </xf>
    <xf numFmtId="0" fontId="1" fillId="22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7" borderId="0" xfId="0" applyFont="1" applyFill="1" applyAlignment="1">
      <alignment horizontal="center"/>
    </xf>
    <xf numFmtId="49" fontId="14" fillId="7" borderId="0" xfId="0" applyNumberFormat="1" applyFont="1" applyFill="1" applyAlignment="1">
      <alignment horizontal="center"/>
    </xf>
    <xf numFmtId="2" fontId="0" fillId="7" borderId="0" xfId="0" applyNumberFormat="1" applyFill="1" applyBorder="1" applyAlignment="1">
      <alignment horizontal="center"/>
    </xf>
    <xf numFmtId="2" fontId="11" fillId="7" borderId="0" xfId="0" applyNumberFormat="1" applyFont="1" applyFill="1" applyAlignment="1">
      <alignment horizontal="center"/>
    </xf>
    <xf numFmtId="2" fontId="0" fillId="7" borderId="6" xfId="0" applyNumberFormat="1" applyFill="1" applyBorder="1" applyAlignment="1">
      <alignment horizontal="center"/>
    </xf>
    <xf numFmtId="49" fontId="0" fillId="7" borderId="0" xfId="0" applyNumberFormat="1" applyFill="1" applyAlignment="1">
      <alignment horizontal="center"/>
    </xf>
    <xf numFmtId="0" fontId="0" fillId="7" borderId="6" xfId="0" applyFill="1" applyBorder="1" applyAlignment="1">
      <alignment horizontal="center"/>
    </xf>
    <xf numFmtId="49" fontId="1" fillId="7" borderId="0" xfId="0" applyNumberFormat="1" applyFont="1" applyFill="1" applyAlignment="1">
      <alignment horizontal="center"/>
    </xf>
    <xf numFmtId="2" fontId="0" fillId="7" borderId="10" xfId="0" applyNumberForma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0" fillId="26" borderId="1" xfId="0" applyFont="1" applyFill="1" applyBorder="1" applyAlignment="1">
      <alignment horizontal="center"/>
    </xf>
    <xf numFmtId="0" fontId="1" fillId="26" borderId="1" xfId="0" applyFont="1" applyFill="1" applyBorder="1" applyAlignment="1">
      <alignment horizontal="center"/>
    </xf>
    <xf numFmtId="0" fontId="18" fillId="26" borderId="1" xfId="0" applyFont="1" applyFill="1" applyBorder="1" applyAlignment="1">
      <alignment horizontal="center"/>
    </xf>
    <xf numFmtId="0" fontId="17" fillId="26" borderId="1" xfId="0" applyFont="1" applyFill="1" applyBorder="1" applyAlignment="1">
      <alignment horizontal="center"/>
    </xf>
    <xf numFmtId="2" fontId="0" fillId="14" borderId="4" xfId="0" applyNumberFormat="1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2" fontId="7" fillId="14" borderId="1" xfId="0" applyNumberFormat="1" applyFont="1" applyFill="1" applyBorder="1" applyAlignment="1">
      <alignment horizontal="center"/>
    </xf>
    <xf numFmtId="0" fontId="7" fillId="14" borderId="1" xfId="0" applyFont="1" applyFill="1" applyBorder="1" applyAlignment="1">
      <alignment horizontal="center"/>
    </xf>
    <xf numFmtId="2" fontId="0" fillId="14" borderId="1" xfId="0" applyNumberForma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164" fontId="0" fillId="14" borderId="1" xfId="0" applyNumberFormat="1" applyFill="1" applyBorder="1" applyAlignment="1">
      <alignment horizontal="center"/>
    </xf>
    <xf numFmtId="164" fontId="7" fillId="14" borderId="1" xfId="0" applyNumberFormat="1" applyFont="1" applyFill="1" applyBorder="1" applyAlignment="1">
      <alignment horizontal="center"/>
    </xf>
    <xf numFmtId="0" fontId="0" fillId="14" borderId="7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2" xfId="0" applyBorder="1"/>
    <xf numFmtId="49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164" fontId="0" fillId="10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8" borderId="0" xfId="0" applyFill="1" applyAlignment="1">
      <alignment horizontal="center"/>
    </xf>
    <xf numFmtId="0" fontId="0" fillId="2" borderId="2" xfId="0" applyFill="1" applyBorder="1" applyAlignment="1"/>
    <xf numFmtId="0" fontId="0" fillId="2" borderId="2" xfId="0" applyFill="1" applyBorder="1" applyAlignment="1">
      <alignment horizontal="center"/>
    </xf>
    <xf numFmtId="164" fontId="0" fillId="0" borderId="0" xfId="0" applyNumberFormat="1"/>
    <xf numFmtId="0" fontId="2" fillId="4" borderId="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10" fillId="6" borderId="1" xfId="0" applyNumberFormat="1" applyFont="1" applyFill="1" applyBorder="1" applyAlignment="1">
      <alignment horizontal="center"/>
    </xf>
    <xf numFmtId="2" fontId="10" fillId="5" borderId="1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0" fillId="27" borderId="1" xfId="0" applyNumberFormat="1" applyFont="1" applyFill="1" applyBorder="1" applyAlignment="1">
      <alignment horizontal="center"/>
    </xf>
    <xf numFmtId="2" fontId="10" fillId="28" borderId="1" xfId="0" applyNumberFormat="1" applyFont="1" applyFill="1" applyBorder="1" applyAlignment="1">
      <alignment horizontal="center"/>
    </xf>
    <xf numFmtId="2" fontId="10" fillId="10" borderId="1" xfId="0" applyNumberFormat="1" applyFont="1" applyFill="1" applyBorder="1" applyAlignment="1">
      <alignment horizontal="center"/>
    </xf>
    <xf numFmtId="2" fontId="10" fillId="29" borderId="1" xfId="0" applyNumberFormat="1" applyFont="1" applyFill="1" applyBorder="1" applyAlignment="1">
      <alignment horizontal="center"/>
    </xf>
    <xf numFmtId="2" fontId="10" fillId="30" borderId="1" xfId="0" applyNumberFormat="1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0" fontId="1" fillId="9" borderId="0" xfId="0" applyFont="1" applyFill="1" applyAlignment="1">
      <alignment horizontal="center"/>
    </xf>
    <xf numFmtId="0" fontId="1" fillId="9" borderId="13" xfId="0" applyFont="1" applyFill="1" applyBorder="1"/>
    <xf numFmtId="2" fontId="10" fillId="31" borderId="1" xfId="0" applyNumberFormat="1" applyFont="1" applyFill="1" applyBorder="1" applyAlignment="1">
      <alignment horizontal="center"/>
    </xf>
    <xf numFmtId="2" fontId="10" fillId="32" borderId="1" xfId="0" applyNumberFormat="1" applyFont="1" applyFill="1" applyBorder="1" applyAlignment="1">
      <alignment horizontal="center"/>
    </xf>
    <xf numFmtId="2" fontId="10" fillId="33" borderId="1" xfId="0" applyNumberFormat="1" applyFont="1" applyFill="1" applyBorder="1" applyAlignment="1">
      <alignment horizontal="center"/>
    </xf>
    <xf numFmtId="2" fontId="10" fillId="34" borderId="1" xfId="0" applyNumberFormat="1" applyFont="1" applyFill="1" applyBorder="1" applyAlignment="1">
      <alignment horizontal="center"/>
    </xf>
    <xf numFmtId="2" fontId="10" fillId="35" borderId="1" xfId="0" applyNumberFormat="1" applyFont="1" applyFill="1" applyBorder="1" applyAlignment="1">
      <alignment horizontal="center"/>
    </xf>
    <xf numFmtId="2" fontId="10" fillId="36" borderId="1" xfId="0" applyNumberFormat="1" applyFont="1" applyFill="1" applyBorder="1" applyAlignment="1">
      <alignment horizontal="center"/>
    </xf>
    <xf numFmtId="2" fontId="10" fillId="14" borderId="1" xfId="0" applyNumberFormat="1" applyFont="1" applyFill="1" applyBorder="1" applyAlignment="1">
      <alignment horizontal="center"/>
    </xf>
    <xf numFmtId="2" fontId="1" fillId="9" borderId="1" xfId="0" applyNumberFormat="1" applyFont="1" applyFill="1" applyBorder="1" applyAlignment="1">
      <alignment horizontal="center"/>
    </xf>
    <xf numFmtId="2" fontId="1" fillId="9" borderId="1" xfId="0" applyNumberFormat="1" applyFont="1" applyFill="1" applyBorder="1"/>
    <xf numFmtId="0" fontId="0" fillId="0" borderId="0" xfId="0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2" fontId="0" fillId="7" borderId="5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2" fontId="0" fillId="3" borderId="15" xfId="0" applyNumberFormat="1" applyFill="1" applyBorder="1" applyAlignment="1">
      <alignment horizontal="center"/>
    </xf>
    <xf numFmtId="49" fontId="1" fillId="3" borderId="8" xfId="0" applyNumberFormat="1" applyFon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49" fontId="1" fillId="9" borderId="14" xfId="0" applyNumberFormat="1" applyFont="1" applyFill="1" applyBorder="1" applyAlignment="1">
      <alignment horizontal="center"/>
    </xf>
    <xf numFmtId="2" fontId="0" fillId="22" borderId="5" xfId="0" applyNumberFormat="1" applyFill="1" applyBorder="1" applyAlignment="1">
      <alignment horizontal="center"/>
    </xf>
    <xf numFmtId="2" fontId="0" fillId="22" borderId="15" xfId="0" applyNumberFormat="1" applyFill="1" applyBorder="1" applyAlignment="1">
      <alignment horizontal="center"/>
    </xf>
    <xf numFmtId="49" fontId="1" fillId="9" borderId="11" xfId="0" applyNumberFormat="1" applyFont="1" applyFill="1" applyBorder="1" applyAlignment="1">
      <alignment horizontal="center"/>
    </xf>
    <xf numFmtId="2" fontId="0" fillId="22" borderId="6" xfId="0" applyNumberFormat="1" applyFill="1" applyBorder="1" applyAlignment="1">
      <alignment horizontal="center"/>
    </xf>
    <xf numFmtId="2" fontId="0" fillId="22" borderId="9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7" borderId="0" xfId="0" applyNumberFormat="1" applyFill="1" applyAlignment="1">
      <alignment horizontal="center"/>
    </xf>
    <xf numFmtId="0" fontId="14" fillId="0" borderId="0" xfId="0" applyFont="1"/>
    <xf numFmtId="0" fontId="2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17" fillId="7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164" fontId="7" fillId="7" borderId="1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right"/>
    </xf>
    <xf numFmtId="0" fontId="17" fillId="7" borderId="4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/>
    </xf>
    <xf numFmtId="0" fontId="22" fillId="7" borderId="1" xfId="0" applyFont="1" applyFill="1" applyBorder="1" applyAlignment="1">
      <alignment horizontal="center"/>
    </xf>
    <xf numFmtId="0" fontId="17" fillId="7" borderId="0" xfId="0" applyFont="1" applyFill="1" applyAlignment="1">
      <alignment horizontal="center"/>
    </xf>
    <xf numFmtId="0" fontId="23" fillId="7" borderId="1" xfId="0" applyFont="1" applyFill="1" applyBorder="1" applyAlignment="1">
      <alignment horizontal="center"/>
    </xf>
    <xf numFmtId="164" fontId="23" fillId="7" borderId="1" xfId="0" applyNumberFormat="1" applyFont="1" applyFill="1" applyBorder="1" applyAlignment="1">
      <alignment horizontal="center"/>
    </xf>
    <xf numFmtId="0" fontId="17" fillId="7" borderId="2" xfId="0" applyFont="1" applyFill="1" applyBorder="1" applyAlignment="1">
      <alignment horizontal="right"/>
    </xf>
    <xf numFmtId="0" fontId="17" fillId="7" borderId="4" xfId="0" applyFont="1" applyFill="1" applyBorder="1" applyAlignment="1">
      <alignment horizontal="right"/>
    </xf>
    <xf numFmtId="0" fontId="0" fillId="7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7" fillId="26" borderId="1" xfId="0" applyFont="1" applyFill="1" applyBorder="1" applyAlignment="1">
      <alignment horizontal="center"/>
    </xf>
    <xf numFmtId="0" fontId="7" fillId="26" borderId="1" xfId="0" applyFont="1" applyFill="1" applyBorder="1" applyAlignment="1">
      <alignment horizontal="center"/>
    </xf>
    <xf numFmtId="0" fontId="7" fillId="26" borderId="1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7" borderId="0" xfId="0" applyFill="1" applyAlignment="1">
      <alignment horizontal="center"/>
    </xf>
    <xf numFmtId="0" fontId="0" fillId="21" borderId="0" xfId="0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isi%20struttura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Rigidezza%20piano%20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Progetto%20sismica%20--\progetto%20sismica%20prova%202\rigidezze%20excel\Rigidezza%20piano%204-5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PIL-SPI-SPO-TRA%20static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Progetto%20sismica%20--\progetto%20sismica%20prova%202\X%20Spettri%20sortino%20analisi%20static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Progetto%20sismica%20--\progetto%20sismica%20prova%202\YSpettri%20sortino%20analisi%20static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Progetto%20sismica%20--\progetto%20sismica%20prova%202\PIL-SPI-SPO-TRA%20modal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PIL-SPI-SPO-TRA%20modale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pettri/X%20Spettri%20sortin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Progetto%20sismica%20--\progetto%20sismica%20prova%202\X%20Spettri%20sortin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pettri/YSpettri%20sortin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Progetto%20sismica%20--\progetto%20sismica%20prova%202\YSpettri%20sortin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e%20excel/Rigidezza%20piano%20tipo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e%20excel/Rigidezza%20piano%20terr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tente\Desktop\Rigidezza%20piano%20tip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rigidezze%20excel/Rigidezza2%20terraz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 dei carichi"/>
      <sheetName val="masse e forze"/>
      <sheetName val="rigidezze"/>
      <sheetName val="rig piano tipo"/>
      <sheetName val="rig piano terra"/>
      <sheetName val="rig terrazza"/>
      <sheetName val="rig p.5"/>
      <sheetName val="Trave 115"/>
      <sheetName val="Fx"/>
      <sheetName val="Fy"/>
      <sheetName val="Confronto p-s err"/>
      <sheetName val="spostamenti x y "/>
      <sheetName val="Confronto p-s-m err"/>
    </sheetNames>
    <sheetDataSet>
      <sheetData sheetId="0"/>
      <sheetData sheetId="1">
        <row r="2">
          <cell r="B2">
            <v>39.6</v>
          </cell>
        </row>
        <row r="3">
          <cell r="B3">
            <v>346.05</v>
          </cell>
        </row>
        <row r="4">
          <cell r="B4">
            <v>312.8</v>
          </cell>
        </row>
        <row r="5">
          <cell r="B5">
            <v>312.8</v>
          </cell>
        </row>
        <row r="7">
          <cell r="F7">
            <v>385.65000000000003</v>
          </cell>
        </row>
        <row r="21">
          <cell r="B21">
            <v>0.7013114556897867</v>
          </cell>
        </row>
        <row r="25">
          <cell r="A25" t="str">
            <v>N pilastri =</v>
          </cell>
          <cell r="B25">
            <v>27</v>
          </cell>
        </row>
        <row r="26">
          <cell r="A26" t="str">
            <v>direzione x=</v>
          </cell>
          <cell r="B26">
            <v>13</v>
          </cell>
        </row>
        <row r="27">
          <cell r="A27" t="str">
            <v>direzione y=</v>
          </cell>
          <cell r="B27">
            <v>12</v>
          </cell>
        </row>
      </sheetData>
      <sheetData sheetId="2"/>
      <sheetData sheetId="3">
        <row r="2">
          <cell r="AA2">
            <v>76.703362253683864</v>
          </cell>
        </row>
        <row r="7">
          <cell r="AA7">
            <v>38.351681126841932</v>
          </cell>
        </row>
        <row r="9">
          <cell r="AA9">
            <v>29.760927319739142</v>
          </cell>
        </row>
        <row r="14">
          <cell r="AA14">
            <v>7.5628736988824219</v>
          </cell>
        </row>
        <row r="17">
          <cell r="AA17">
            <v>35.050720351999338</v>
          </cell>
        </row>
        <row r="21">
          <cell r="AA21">
            <v>41.936890310889176</v>
          </cell>
        </row>
        <row r="26">
          <cell r="AA26">
            <v>102.6001215413375</v>
          </cell>
        </row>
        <row r="56">
          <cell r="D56">
            <v>50.894894318031007</v>
          </cell>
          <cell r="G56">
            <v>53.701790131849052</v>
          </cell>
          <cell r="K56">
            <v>89.958237965087022</v>
          </cell>
          <cell r="N56">
            <v>41.219490214919205</v>
          </cell>
          <cell r="Q56">
            <v>59.125911044611733</v>
          </cell>
          <cell r="T56">
            <v>81.727221238506303</v>
          </cell>
          <cell r="W56">
            <v>81.727221238506303</v>
          </cell>
        </row>
      </sheetData>
      <sheetData sheetId="4">
        <row r="2">
          <cell r="AA2">
            <v>120.49269980971521</v>
          </cell>
        </row>
        <row r="7">
          <cell r="AA7">
            <v>60.246349904857603</v>
          </cell>
        </row>
        <row r="9">
          <cell r="AA9">
            <v>33.750963250301218</v>
          </cell>
        </row>
        <row r="14">
          <cell r="AA14">
            <v>14.548298705689344</v>
          </cell>
        </row>
        <row r="17">
          <cell r="AA17">
            <v>49.242372236465116</v>
          </cell>
        </row>
        <row r="21">
          <cell r="AA21">
            <v>65.819785975004166</v>
          </cell>
        </row>
        <row r="26">
          <cell r="AA26">
            <v>135.89540814582699</v>
          </cell>
        </row>
        <row r="56">
          <cell r="D56">
            <v>54.999020103225369</v>
          </cell>
          <cell r="G56">
            <v>60.058698611864571</v>
          </cell>
          <cell r="K56">
            <v>112.69547592326799</v>
          </cell>
          <cell r="N56">
            <v>48.557696168344968</v>
          </cell>
          <cell r="Q56">
            <v>75.585221633152557</v>
          </cell>
          <cell r="T56">
            <v>92.109274393340783</v>
          </cell>
          <cell r="W56">
            <v>92.109274393340783</v>
          </cell>
        </row>
      </sheetData>
      <sheetData sheetId="5">
        <row r="2">
          <cell r="AA2">
            <v>48.336166362915868</v>
          </cell>
        </row>
        <row r="7">
          <cell r="AA7">
            <v>24.168083181457934</v>
          </cell>
        </row>
        <row r="9">
          <cell r="AA9">
            <v>24.822884167955547</v>
          </cell>
        </row>
        <row r="14">
          <cell r="AA14">
            <v>7.5628736988824219</v>
          </cell>
        </row>
        <row r="17">
          <cell r="AA17">
            <v>25.489899803415536</v>
          </cell>
        </row>
        <row r="21">
          <cell r="AA21">
            <v>27.753292365505175</v>
          </cell>
        </row>
        <row r="26">
          <cell r="AA26">
            <v>67.24222519573803</v>
          </cell>
        </row>
        <row r="56">
          <cell r="D56">
            <v>35.669517996966754</v>
          </cell>
          <cell r="G56">
            <v>38.476413810784805</v>
          </cell>
          <cell r="K56">
            <v>60.10458640370674</v>
          </cell>
          <cell r="N56">
            <v>29.706490766490138</v>
          </cell>
          <cell r="Q56">
            <v>39.56456992581461</v>
          </cell>
          <cell r="T56">
            <v>56.209534474858884</v>
          </cell>
          <cell r="W56">
            <v>56.209534474858884</v>
          </cell>
        </row>
      </sheetData>
      <sheetData sheetId="6">
        <row r="2">
          <cell r="AA2">
            <v>61.747074613733432</v>
          </cell>
        </row>
        <row r="7">
          <cell r="AA7">
            <v>30.873537306866716</v>
          </cell>
        </row>
        <row r="9">
          <cell r="AA9">
            <v>27.123975990944924</v>
          </cell>
        </row>
        <row r="14">
          <cell r="AA14">
            <v>7.5628736988824219</v>
          </cell>
        </row>
        <row r="17">
          <cell r="AA17">
            <v>29.993172777614614</v>
          </cell>
        </row>
        <row r="21">
          <cell r="AA21">
            <v>34.45874649091396</v>
          </cell>
        </row>
        <row r="26">
          <cell r="AA26">
            <v>83.800209715928176</v>
          </cell>
        </row>
        <row r="56">
          <cell r="D56">
            <v>42.759677185925582</v>
          </cell>
          <cell r="G56">
            <v>50.233162932898438</v>
          </cell>
          <cell r="K56">
            <v>74.061655131425809</v>
          </cell>
          <cell r="N56">
            <v>35.137813523534646</v>
          </cell>
          <cell r="Q56">
            <v>48.727906431672608</v>
          </cell>
          <cell r="T56">
            <v>68.093425885678784</v>
          </cell>
          <cell r="W56">
            <v>68.093425885678784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4 30x80 2 tr emerg"/>
      <sheetName val="x p.4 30x80 1 tr emer"/>
      <sheetName val="x p.4 80x30 1 tr emerg"/>
      <sheetName val=" x p.4 80x30 2 spess"/>
      <sheetName val="x p.4 80x30 1 spess"/>
      <sheetName val="y 30x80 2 tr emerg"/>
      <sheetName val="y 30x80 1 tr emerg"/>
      <sheetName val="y 80x30 2 tr emerg"/>
      <sheetName val="y 80x30 1 tr emerg"/>
      <sheetName val="y 80x30 1 tr spess"/>
    </sheetNames>
    <sheetDataSet>
      <sheetData sheetId="0" refreshError="1">
        <row r="5">
          <cell r="L5">
            <v>26.46333620453073</v>
          </cell>
        </row>
      </sheetData>
      <sheetData sheetId="1" refreshError="1"/>
      <sheetData sheetId="2" refreshError="1">
        <row r="5">
          <cell r="L5">
            <v>8.982362682716424</v>
          </cell>
        </row>
      </sheetData>
      <sheetData sheetId="3" refreshError="1">
        <row r="5">
          <cell r="L5">
            <v>3.5852091840472422</v>
          </cell>
        </row>
      </sheetData>
      <sheetData sheetId="4" refreshError="1">
        <row r="5">
          <cell r="L5">
            <v>1.9888322574175896</v>
          </cell>
        </row>
      </sheetData>
      <sheetData sheetId="5" refreshError="1">
        <row r="5">
          <cell r="L5">
            <v>25.333748699753201</v>
          </cell>
        </row>
      </sheetData>
      <sheetData sheetId="6" refreshError="1">
        <row r="5">
          <cell r="L5">
            <v>14.681193488833213</v>
          </cell>
        </row>
      </sheetData>
      <sheetData sheetId="7" refreshError="1">
        <row r="5">
          <cell r="L5">
            <v>11.743655791615245</v>
          </cell>
        </row>
      </sheetData>
      <sheetData sheetId="8" refreshError="1">
        <row r="5">
          <cell r="L5">
            <v>8.7129642430861924</v>
          </cell>
        </row>
      </sheetData>
      <sheetData sheetId="9" refreshError="1">
        <row r="5">
          <cell r="L5">
            <v>7.4734857469728491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4 30x70 2 tr emerg"/>
      <sheetName val="x p.4 30x70 1 tr emer"/>
      <sheetName val="x p.4 70x30 1 tr emerg"/>
      <sheetName val=" x p.4 70x30 2 spess"/>
      <sheetName val="x p.4 70x30 1 spess"/>
      <sheetName val="y 30x70 2 tr emerg"/>
      <sheetName val="y 30x70 1 tr emerg"/>
      <sheetName val="y 70x30 2 tr emerg"/>
      <sheetName val="y 70x30 1 tr emerg"/>
      <sheetName val="y 70x30 1 tr spess"/>
    </sheetNames>
    <sheetDataSet>
      <sheetData sheetId="0" refreshError="1"/>
      <sheetData sheetId="1" refreshError="1">
        <row r="5">
          <cell r="L5">
            <v>15.436768653433358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 tel"/>
      <sheetName val="TRA"/>
      <sheetName val="SPO"/>
      <sheetName val="Rig"/>
    </sheetNames>
    <sheetDataSet>
      <sheetData sheetId="0">
        <row r="2">
          <cell r="N2">
            <v>100.72799999999999</v>
          </cell>
          <cell r="O2">
            <v>73.55</v>
          </cell>
        </row>
        <row r="4">
          <cell r="N4">
            <v>48.368000000000002</v>
          </cell>
          <cell r="O4">
            <v>34.524999999999999</v>
          </cell>
        </row>
        <row r="6">
          <cell r="N6">
            <v>118.05800000000001</v>
          </cell>
          <cell r="O6">
            <v>100.60299999999999</v>
          </cell>
        </row>
        <row r="8">
          <cell r="N8">
            <v>74.58</v>
          </cell>
          <cell r="O8">
            <v>62.6</v>
          </cell>
        </row>
        <row r="10">
          <cell r="N10">
            <v>178.95400000000001</v>
          </cell>
          <cell r="O10">
            <v>151.12899999999999</v>
          </cell>
        </row>
        <row r="12">
          <cell r="N12">
            <v>105.803</v>
          </cell>
          <cell r="O12">
            <v>89.177999999999997</v>
          </cell>
        </row>
        <row r="14">
          <cell r="N14">
            <v>197.56399999999999</v>
          </cell>
          <cell r="O14">
            <v>175.46799999999999</v>
          </cell>
        </row>
        <row r="16">
          <cell r="N16">
            <v>120.17400000000001</v>
          </cell>
          <cell r="O16">
            <v>105.871</v>
          </cell>
        </row>
        <row r="18">
          <cell r="N18">
            <v>205.81700000000001</v>
          </cell>
          <cell r="O18">
            <v>193.101</v>
          </cell>
        </row>
        <row r="20">
          <cell r="N20">
            <v>132.74799999999999</v>
          </cell>
          <cell r="O20">
            <v>121.26</v>
          </cell>
        </row>
        <row r="22">
          <cell r="N22">
            <v>148.994</v>
          </cell>
          <cell r="O22">
            <v>174.68</v>
          </cell>
        </row>
        <row r="24">
          <cell r="N24">
            <v>111.581</v>
          </cell>
          <cell r="O24">
            <v>121.935</v>
          </cell>
        </row>
        <row r="26">
          <cell r="N26">
            <v>-263.85399999999998</v>
          </cell>
          <cell r="O26">
            <v>-276.47699999999998</v>
          </cell>
        </row>
      </sheetData>
      <sheetData sheetId="1">
        <row r="2">
          <cell r="P2">
            <v>19.08192</v>
          </cell>
        </row>
        <row r="3">
          <cell r="Q3">
            <v>16.60192</v>
          </cell>
        </row>
        <row r="5">
          <cell r="P5">
            <v>16.882080000000002</v>
          </cell>
        </row>
        <row r="6">
          <cell r="Q6">
            <v>14.91164</v>
          </cell>
        </row>
        <row r="8">
          <cell r="P8">
            <v>14.02538</v>
          </cell>
        </row>
        <row r="9">
          <cell r="Q9">
            <v>12.59572</v>
          </cell>
        </row>
        <row r="11">
          <cell r="P11">
            <v>10.709519999999999</v>
          </cell>
        </row>
        <row r="12">
          <cell r="Q12">
            <v>9.8398000000000003</v>
          </cell>
        </row>
        <row r="14">
          <cell r="P14">
            <v>7.3589200000000003</v>
          </cell>
        </row>
        <row r="15">
          <cell r="Q15">
            <v>6.6293600000000001</v>
          </cell>
        </row>
        <row r="17">
          <cell r="P17">
            <v>3.2662</v>
          </cell>
        </row>
        <row r="18">
          <cell r="Q18">
            <v>3.1844400000000004</v>
          </cell>
        </row>
      </sheetData>
      <sheetData sheetId="2"/>
      <sheetData sheetId="3">
        <row r="2">
          <cell r="N2">
            <v>56.472000000000001</v>
          </cell>
          <cell r="O2">
            <v>44.313000000000002</v>
          </cell>
        </row>
        <row r="3">
          <cell r="N3">
            <v>56.442999999999998</v>
          </cell>
          <cell r="O3">
            <v>44.128</v>
          </cell>
        </row>
        <row r="6">
          <cell r="N6">
            <v>91.567999999999998</v>
          </cell>
          <cell r="O6">
            <v>75.114000000000004</v>
          </cell>
        </row>
        <row r="7">
          <cell r="N7">
            <v>91.578000000000003</v>
          </cell>
          <cell r="O7">
            <v>75.244</v>
          </cell>
        </row>
        <row r="10">
          <cell r="N10">
            <v>156.989</v>
          </cell>
          <cell r="O10">
            <v>133.96700000000001</v>
          </cell>
        </row>
        <row r="11">
          <cell r="N11">
            <v>156.56299999999999</v>
          </cell>
          <cell r="O11">
            <v>132.99199999999999</v>
          </cell>
        </row>
        <row r="14">
          <cell r="N14">
            <v>196.102</v>
          </cell>
          <cell r="O14">
            <v>160.03899999999999</v>
          </cell>
        </row>
        <row r="15">
          <cell r="N15">
            <v>196.102</v>
          </cell>
          <cell r="O15">
            <v>164.19300000000001</v>
          </cell>
        </row>
        <row r="18">
          <cell r="N18">
            <v>235.047</v>
          </cell>
          <cell r="O18">
            <v>178.99</v>
          </cell>
        </row>
        <row r="19">
          <cell r="N19">
            <v>235.047</v>
          </cell>
          <cell r="O19">
            <v>193.09299999999999</v>
          </cell>
        </row>
        <row r="22">
          <cell r="N22">
            <v>242.773</v>
          </cell>
          <cell r="O22">
            <v>192.70099999999999</v>
          </cell>
        </row>
        <row r="23">
          <cell r="N23">
            <v>242.773</v>
          </cell>
          <cell r="O23">
            <v>211.94300000000001</v>
          </cell>
        </row>
      </sheetData>
      <sheetData sheetId="4"/>
      <sheetData sheetId="5">
        <row r="2">
          <cell r="K2">
            <v>15.859000000000002</v>
          </cell>
        </row>
        <row r="3">
          <cell r="K3">
            <v>28.548999999999999</v>
          </cell>
        </row>
        <row r="4">
          <cell r="K4">
            <v>34.53</v>
          </cell>
        </row>
        <row r="5">
          <cell r="K5">
            <v>39.022999999999996</v>
          </cell>
        </row>
        <row r="6">
          <cell r="K6">
            <v>44.23</v>
          </cell>
        </row>
        <row r="7">
          <cell r="K7">
            <v>62.42</v>
          </cell>
        </row>
        <row r="8">
          <cell r="K8">
            <v>59.103000000000002</v>
          </cell>
        </row>
        <row r="9">
          <cell r="K9">
            <v>77.055999999999997</v>
          </cell>
        </row>
        <row r="10">
          <cell r="K10">
            <v>93.207999999999998</v>
          </cell>
        </row>
        <row r="11">
          <cell r="K11">
            <v>96.114999999999995</v>
          </cell>
        </row>
        <row r="12">
          <cell r="K12">
            <v>102.991</v>
          </cell>
        </row>
        <row r="13">
          <cell r="K13">
            <v>124.18600000000001</v>
          </cell>
        </row>
        <row r="14">
          <cell r="K14">
            <v>9.1009999999999991</v>
          </cell>
        </row>
        <row r="15">
          <cell r="K15">
            <v>8.4039999999999999</v>
          </cell>
        </row>
        <row r="16">
          <cell r="K16">
            <v>8.07</v>
          </cell>
        </row>
        <row r="17">
          <cell r="K17">
            <v>8.661999999999999</v>
          </cell>
        </row>
        <row r="18">
          <cell r="K18">
            <v>8.8789999999999996</v>
          </cell>
        </row>
        <row r="19">
          <cell r="K19">
            <v>14.283000000000001</v>
          </cell>
        </row>
        <row r="20">
          <cell r="K20">
            <v>20.738</v>
          </cell>
        </row>
        <row r="21">
          <cell r="K21">
            <v>26.31</v>
          </cell>
        </row>
        <row r="22">
          <cell r="K22">
            <v>29.32</v>
          </cell>
        </row>
        <row r="23">
          <cell r="K23">
            <v>31.486000000000001</v>
          </cell>
        </row>
        <row r="24">
          <cell r="K24">
            <v>33.26</v>
          </cell>
        </row>
        <row r="25">
          <cell r="K25">
            <v>44.363</v>
          </cell>
        </row>
        <row r="26">
          <cell r="K26">
            <v>24.682000000000002</v>
          </cell>
        </row>
        <row r="27">
          <cell r="K27">
            <v>25.143999999999998</v>
          </cell>
        </row>
        <row r="28">
          <cell r="K28">
            <v>26.946999999999996</v>
          </cell>
        </row>
        <row r="29">
          <cell r="K29">
            <v>28.018999999999998</v>
          </cell>
        </row>
        <row r="30">
          <cell r="K30">
            <v>29.292000000000002</v>
          </cell>
        </row>
        <row r="31">
          <cell r="K31">
            <v>30.767999999999997</v>
          </cell>
        </row>
        <row r="32">
          <cell r="K32">
            <v>9.51</v>
          </cell>
        </row>
        <row r="33">
          <cell r="K33">
            <v>23.771999999999998</v>
          </cell>
        </row>
        <row r="34">
          <cell r="K34">
            <v>30.122</v>
          </cell>
        </row>
        <row r="35">
          <cell r="K35">
            <v>34.673999999999999</v>
          </cell>
        </row>
        <row r="36">
          <cell r="K36">
            <v>40.206000000000003</v>
          </cell>
        </row>
        <row r="37">
          <cell r="K37">
            <v>56.847999999999999</v>
          </cell>
        </row>
        <row r="38">
          <cell r="K38">
            <v>19.414999999999999</v>
          </cell>
        </row>
        <row r="39">
          <cell r="K39">
            <v>28.398999999999997</v>
          </cell>
        </row>
        <row r="40">
          <cell r="K40">
            <v>33.811999999999998</v>
          </cell>
        </row>
        <row r="41">
          <cell r="K41">
            <v>36.231999999999999</v>
          </cell>
        </row>
        <row r="42">
          <cell r="K42">
            <v>39.466000000000001</v>
          </cell>
        </row>
        <row r="43">
          <cell r="K43">
            <v>57.129999999999995</v>
          </cell>
        </row>
        <row r="44">
          <cell r="K44">
            <v>18.668000000000003</v>
          </cell>
        </row>
        <row r="45">
          <cell r="K45">
            <v>28.313000000000002</v>
          </cell>
        </row>
        <row r="46">
          <cell r="K46">
            <v>33.944000000000003</v>
          </cell>
        </row>
        <row r="47">
          <cell r="K47">
            <v>36.683999999999997</v>
          </cell>
        </row>
        <row r="48">
          <cell r="K48">
            <v>40.335000000000001</v>
          </cell>
        </row>
        <row r="49">
          <cell r="K49">
            <v>57.674999999999997</v>
          </cell>
        </row>
        <row r="50">
          <cell r="K50">
            <v>29.404</v>
          </cell>
        </row>
        <row r="51">
          <cell r="K51">
            <v>38.576000000000001</v>
          </cell>
        </row>
        <row r="52">
          <cell r="K52">
            <v>45.087999999999994</v>
          </cell>
        </row>
        <row r="53">
          <cell r="K53">
            <v>46.797999999999995</v>
          </cell>
        </row>
        <row r="54">
          <cell r="K54">
            <v>49.008000000000003</v>
          </cell>
        </row>
        <row r="55">
          <cell r="K55">
            <v>52.420999999999992</v>
          </cell>
        </row>
        <row r="56">
          <cell r="K56">
            <v>35.085000000000001</v>
          </cell>
        </row>
        <row r="57">
          <cell r="K57">
            <v>43.788000000000004</v>
          </cell>
        </row>
        <row r="58">
          <cell r="K58">
            <v>49.637</v>
          </cell>
        </row>
        <row r="59">
          <cell r="K59">
            <v>51.546999999999997</v>
          </cell>
        </row>
        <row r="60">
          <cell r="K60">
            <v>53.425999999999995</v>
          </cell>
        </row>
        <row r="61">
          <cell r="K61">
            <v>58.315000000000005</v>
          </cell>
        </row>
        <row r="62">
          <cell r="K62">
            <v>55.264000000000003</v>
          </cell>
        </row>
        <row r="63">
          <cell r="K63">
            <v>76.698000000000008</v>
          </cell>
        </row>
        <row r="64">
          <cell r="K64">
            <v>90.075999999999993</v>
          </cell>
        </row>
        <row r="65">
          <cell r="K65">
            <v>93.825999999999993</v>
          </cell>
        </row>
        <row r="66">
          <cell r="K66">
            <v>98.024000000000001</v>
          </cell>
        </row>
        <row r="67">
          <cell r="K67">
            <v>114.931</v>
          </cell>
        </row>
        <row r="68">
          <cell r="K68">
            <v>29.08</v>
          </cell>
        </row>
        <row r="69">
          <cell r="K69">
            <v>35.635000000000005</v>
          </cell>
        </row>
        <row r="70">
          <cell r="K70">
            <v>38.448999999999998</v>
          </cell>
        </row>
        <row r="71">
          <cell r="K71">
            <v>40.054000000000002</v>
          </cell>
        </row>
        <row r="72">
          <cell r="K72">
            <v>39.625</v>
          </cell>
        </row>
        <row r="73">
          <cell r="K73">
            <v>49.222999999999999</v>
          </cell>
        </row>
        <row r="74">
          <cell r="K74">
            <v>36.707000000000001</v>
          </cell>
        </row>
        <row r="75">
          <cell r="K75">
            <v>48.567999999999998</v>
          </cell>
        </row>
        <row r="76">
          <cell r="K76">
            <v>55.055999999999997</v>
          </cell>
        </row>
        <row r="77">
          <cell r="K77">
            <v>57.125</v>
          </cell>
        </row>
        <row r="78">
          <cell r="K78">
            <v>57.906999999999996</v>
          </cell>
        </row>
        <row r="79">
          <cell r="K79">
            <v>75.915999999999997</v>
          </cell>
        </row>
        <row r="80">
          <cell r="K80">
            <v>49.882999999999996</v>
          </cell>
        </row>
        <row r="81">
          <cell r="K81">
            <v>64.641000000000005</v>
          </cell>
        </row>
        <row r="82">
          <cell r="K82">
            <v>75.203000000000003</v>
          </cell>
        </row>
        <row r="83">
          <cell r="K83">
            <v>77.37</v>
          </cell>
        </row>
        <row r="84">
          <cell r="K84">
            <v>80.435000000000002</v>
          </cell>
        </row>
        <row r="85">
          <cell r="K85">
            <v>88.488</v>
          </cell>
        </row>
        <row r="86">
          <cell r="K86">
            <v>50.628</v>
          </cell>
        </row>
        <row r="87">
          <cell r="K87">
            <v>65.256999999999991</v>
          </cell>
        </row>
        <row r="88">
          <cell r="K88">
            <v>75.736999999999995</v>
          </cell>
        </row>
        <row r="89">
          <cell r="K89">
            <v>77.797000000000011</v>
          </cell>
        </row>
        <row r="90">
          <cell r="K90">
            <v>80.804000000000002</v>
          </cell>
        </row>
        <row r="91">
          <cell r="K91">
            <v>88.581999999999994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8.3347391535355614E-2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9.4765235143950535E-2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>
        <row r="2">
          <cell r="P2">
            <v>109.304</v>
          </cell>
          <cell r="Q2">
            <v>83.77</v>
          </cell>
        </row>
        <row r="4">
          <cell r="P4">
            <v>53.476999999999997</v>
          </cell>
          <cell r="Q4">
            <v>40.15</v>
          </cell>
        </row>
        <row r="6">
          <cell r="P6">
            <v>124.261</v>
          </cell>
          <cell r="Q6">
            <v>112.01</v>
          </cell>
        </row>
        <row r="8">
          <cell r="P8">
            <v>79.218999999999994</v>
          </cell>
          <cell r="Q8">
            <v>69.945999999999998</v>
          </cell>
        </row>
        <row r="10">
          <cell r="P10">
            <v>185.80600000000001</v>
          </cell>
          <cell r="Q10">
            <v>168.05600000000001</v>
          </cell>
        </row>
        <row r="12">
          <cell r="P12">
            <v>110.143</v>
          </cell>
          <cell r="Q12">
            <v>99.049000000000007</v>
          </cell>
        </row>
        <row r="14">
          <cell r="P14">
            <v>205.018</v>
          </cell>
          <cell r="Q14">
            <v>196.85300000000001</v>
          </cell>
        </row>
        <row r="16">
          <cell r="P16">
            <v>124.54300000000001</v>
          </cell>
          <cell r="Q16">
            <v>118.404</v>
          </cell>
        </row>
        <row r="18">
          <cell r="P18">
            <v>214.93799999999999</v>
          </cell>
          <cell r="Q18">
            <v>218.80799999999999</v>
          </cell>
        </row>
        <row r="20">
          <cell r="P20">
            <v>138.17599999999999</v>
          </cell>
          <cell r="Q20">
            <v>136.89699999999999</v>
          </cell>
        </row>
        <row r="22">
          <cell r="P22">
            <v>156.40100000000001</v>
          </cell>
          <cell r="Q22">
            <v>199.495</v>
          </cell>
        </row>
        <row r="24">
          <cell r="P24">
            <v>116.508</v>
          </cell>
          <cell r="Q24">
            <v>138.727</v>
          </cell>
        </row>
        <row r="26">
          <cell r="P26">
            <v>-274.99099999999999</v>
          </cell>
          <cell r="Q26">
            <v>-313.87099999999998</v>
          </cell>
        </row>
      </sheetData>
      <sheetData sheetId="1"/>
      <sheetData sheetId="2"/>
      <sheetData sheetId="3">
        <row r="2">
          <cell r="P2">
            <v>60.393999999999998</v>
          </cell>
          <cell r="Q2">
            <v>49.710999999999999</v>
          </cell>
        </row>
        <row r="3">
          <cell r="P3">
            <v>60.368000000000002</v>
          </cell>
          <cell r="Q3">
            <v>49.462000000000003</v>
          </cell>
        </row>
        <row r="6">
          <cell r="P6">
            <v>96.897000000000006</v>
          </cell>
          <cell r="Q6">
            <v>83.534000000000006</v>
          </cell>
        </row>
        <row r="7">
          <cell r="P7">
            <v>96.91</v>
          </cell>
          <cell r="Q7">
            <v>83.668999999999997</v>
          </cell>
        </row>
        <row r="10">
          <cell r="P10">
            <v>171.23099999999999</v>
          </cell>
          <cell r="Q10">
            <v>147.92699999999999</v>
          </cell>
        </row>
        <row r="11">
          <cell r="P11">
            <v>172.61799999999999</v>
          </cell>
          <cell r="Q11">
            <v>146.83600000000001</v>
          </cell>
        </row>
        <row r="14">
          <cell r="P14">
            <v>212.45599999999999</v>
          </cell>
          <cell r="Q14">
            <v>177.333</v>
          </cell>
        </row>
        <row r="15">
          <cell r="P15">
            <v>212.45599999999999</v>
          </cell>
          <cell r="Q15">
            <v>182.34700000000001</v>
          </cell>
        </row>
        <row r="18">
          <cell r="P18">
            <v>255.56800000000001</v>
          </cell>
          <cell r="Q18">
            <v>200.65700000000001</v>
          </cell>
        </row>
        <row r="19">
          <cell r="P19">
            <v>255.56800000000001</v>
          </cell>
          <cell r="Q19">
            <v>216.43899999999999</v>
          </cell>
        </row>
        <row r="22">
          <cell r="P22">
            <v>266.339</v>
          </cell>
          <cell r="Q22">
            <v>217.964</v>
          </cell>
        </row>
        <row r="23">
          <cell r="P23">
            <v>266.339</v>
          </cell>
          <cell r="Q23">
            <v>239.71299999999999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"/>
      <sheetName val="spi"/>
      <sheetName val="spotel"/>
      <sheetName val="tra"/>
      <sheetName val="spo"/>
      <sheetName val="spost x"/>
      <sheetName val="spost y"/>
      <sheetName val="Foglio1"/>
      <sheetName val="INVILUPPO TRAVI"/>
      <sheetName val="trave 8-11"/>
      <sheetName val="TABELLA PIL"/>
      <sheetName val="INVILUPPO PIL"/>
      <sheetName val="no rotaz tab pil"/>
      <sheetName val="no rot inv pil"/>
      <sheetName val="pil8"/>
      <sheetName val="pil9"/>
      <sheetName val="pil10"/>
      <sheetName val="pil11"/>
      <sheetName val="Foglio2"/>
      <sheetName val="pil 2"/>
      <sheetName val="trave 2-10"/>
      <sheetName val="pil 6"/>
      <sheetName val="pil 10 sp"/>
      <sheetName val="verifiche"/>
      <sheetName val="Foglio4"/>
      <sheetName val="30x70"/>
      <sheetName val="70x30"/>
    </sheetNames>
    <sheetDataSet>
      <sheetData sheetId="0">
        <row r="1">
          <cell r="H1" t="str">
            <v>CondCar  3</v>
          </cell>
          <cell r="I1" t="str">
            <v>CondCar  4</v>
          </cell>
        </row>
        <row r="74">
          <cell r="H74">
            <v>54.871000000000002</v>
          </cell>
        </row>
        <row r="78">
          <cell r="H78">
            <v>74.825999999999993</v>
          </cell>
        </row>
        <row r="82">
          <cell r="H82">
            <v>103.544</v>
          </cell>
        </row>
        <row r="86">
          <cell r="H86">
            <v>117.90600000000001</v>
          </cell>
        </row>
        <row r="90">
          <cell r="H90">
            <v>119.32599999999999</v>
          </cell>
        </row>
        <row r="94">
          <cell r="H94">
            <v>94.753</v>
          </cell>
        </row>
        <row r="98">
          <cell r="H98">
            <v>109.15900000000001</v>
          </cell>
        </row>
        <row r="102">
          <cell r="H102">
            <v>124.261</v>
          </cell>
        </row>
        <row r="106">
          <cell r="H106">
            <v>185.80600000000001</v>
          </cell>
        </row>
        <row r="110">
          <cell r="H110">
            <v>205.018</v>
          </cell>
        </row>
        <row r="114">
          <cell r="H114">
            <v>214.93799999999999</v>
          </cell>
        </row>
        <row r="118">
          <cell r="H118">
            <v>156.40100000000001</v>
          </cell>
        </row>
        <row r="119">
          <cell r="H119">
            <v>-274.84199999999998</v>
          </cell>
        </row>
        <row r="122">
          <cell r="H122">
            <v>109.304</v>
          </cell>
        </row>
        <row r="126">
          <cell r="H126">
            <v>124.126</v>
          </cell>
        </row>
        <row r="130">
          <cell r="H130">
            <v>185.61799999999999</v>
          </cell>
        </row>
        <row r="134">
          <cell r="H134">
            <v>204.60499999999999</v>
          </cell>
        </row>
        <row r="138">
          <cell r="H138">
            <v>214.304</v>
          </cell>
        </row>
        <row r="142">
          <cell r="H142">
            <v>155.91900000000001</v>
          </cell>
        </row>
        <row r="146">
          <cell r="H146">
            <v>54.966999999999999</v>
          </cell>
        </row>
        <row r="150">
          <cell r="H150">
            <v>74.661000000000001</v>
          </cell>
        </row>
        <row r="154">
          <cell r="H154">
            <v>103.26600000000001</v>
          </cell>
        </row>
        <row r="158">
          <cell r="H158">
            <v>117.39400000000001</v>
          </cell>
        </row>
        <row r="162">
          <cell r="H162">
            <v>118.559</v>
          </cell>
        </row>
        <row r="166">
          <cell r="H166">
            <v>94.155000000000001</v>
          </cell>
        </row>
        <row r="506">
          <cell r="H506">
            <v>55.433</v>
          </cell>
        </row>
        <row r="510">
          <cell r="H510">
            <v>77.766999999999996</v>
          </cell>
        </row>
        <row r="514">
          <cell r="H514">
            <v>109.768</v>
          </cell>
        </row>
        <row r="518">
          <cell r="H518">
            <v>125.292</v>
          </cell>
        </row>
        <row r="522">
          <cell r="H522">
            <v>127.985</v>
          </cell>
        </row>
        <row r="526">
          <cell r="H526">
            <v>102.58199999999999</v>
          </cell>
        </row>
        <row r="530">
          <cell r="H530">
            <v>68.762</v>
          </cell>
        </row>
        <row r="534">
          <cell r="H534">
            <v>87.308999999999997</v>
          </cell>
        </row>
        <row r="538">
          <cell r="H538">
            <v>121.239</v>
          </cell>
        </row>
        <row r="542">
          <cell r="H542">
            <v>137.72399999999999</v>
          </cell>
        </row>
        <row r="546">
          <cell r="H546">
            <v>141.51300000000001</v>
          </cell>
        </row>
        <row r="550">
          <cell r="H550">
            <v>111.568</v>
          </cell>
        </row>
        <row r="551">
          <cell r="H551">
            <v>-273.74900000000002</v>
          </cell>
        </row>
        <row r="554">
          <cell r="H554">
            <v>13.101000000000001</v>
          </cell>
        </row>
        <row r="558">
          <cell r="H558">
            <v>11.856999999999999</v>
          </cell>
        </row>
        <row r="562">
          <cell r="H562">
            <v>13.085000000000001</v>
          </cell>
        </row>
        <row r="566">
          <cell r="H566">
            <v>14.521000000000001</v>
          </cell>
        </row>
        <row r="570">
          <cell r="H570">
            <v>14.417999999999999</v>
          </cell>
        </row>
        <row r="574">
          <cell r="H574">
            <v>10.593</v>
          </cell>
        </row>
        <row r="650">
          <cell r="I650">
            <v>28.632999999999999</v>
          </cell>
        </row>
        <row r="651">
          <cell r="I651">
            <v>-20.602</v>
          </cell>
        </row>
        <row r="654">
          <cell r="I654">
            <v>35.319000000000003</v>
          </cell>
        </row>
        <row r="655">
          <cell r="I655">
            <v>-37.835000000000001</v>
          </cell>
        </row>
        <row r="658">
          <cell r="I658">
            <v>51.854999999999997</v>
          </cell>
        </row>
        <row r="659">
          <cell r="I659">
            <v>-49.183999999999997</v>
          </cell>
        </row>
        <row r="662">
          <cell r="I662">
            <v>59.466999999999999</v>
          </cell>
        </row>
        <row r="663">
          <cell r="I663">
            <v>-57.393000000000001</v>
          </cell>
        </row>
        <row r="666">
          <cell r="I666">
            <v>65.992999999999995</v>
          </cell>
        </row>
        <row r="667">
          <cell r="I667">
            <v>-67.412000000000006</v>
          </cell>
        </row>
        <row r="670">
          <cell r="I670">
            <v>53.439</v>
          </cell>
        </row>
        <row r="671">
          <cell r="I671">
            <v>-67.132999999999996</v>
          </cell>
        </row>
        <row r="674">
          <cell r="I674">
            <v>66.992999999999995</v>
          </cell>
        </row>
        <row r="675">
          <cell r="I675">
            <v>-32.884999999999998</v>
          </cell>
        </row>
        <row r="678">
          <cell r="I678">
            <v>96.76</v>
          </cell>
        </row>
        <row r="679">
          <cell r="I679">
            <v>-89.221999999999994</v>
          </cell>
        </row>
        <row r="682">
          <cell r="I682">
            <v>137.13399999999999</v>
          </cell>
        </row>
        <row r="683">
          <cell r="I683">
            <v>-116.697</v>
          </cell>
        </row>
        <row r="686">
          <cell r="I686">
            <v>162.50200000000001</v>
          </cell>
        </row>
        <row r="687">
          <cell r="I687">
            <v>-147.346</v>
          </cell>
        </row>
        <row r="690">
          <cell r="I690">
            <v>176.02199999999999</v>
          </cell>
        </row>
        <row r="691">
          <cell r="I691">
            <v>-169.27199999999999</v>
          </cell>
        </row>
        <row r="694">
          <cell r="I694">
            <v>168.59</v>
          </cell>
        </row>
        <row r="695">
          <cell r="I695">
            <v>-304.21600000000001</v>
          </cell>
        </row>
        <row r="698">
          <cell r="I698">
            <v>24.989000000000001</v>
          </cell>
        </row>
        <row r="699">
          <cell r="I699">
            <v>-19.798999999999999</v>
          </cell>
        </row>
        <row r="702">
          <cell r="I702">
            <v>36.387999999999998</v>
          </cell>
        </row>
        <row r="703">
          <cell r="I703">
            <v>-38.372</v>
          </cell>
        </row>
        <row r="706">
          <cell r="I706">
            <v>53.024999999999999</v>
          </cell>
        </row>
        <row r="707">
          <cell r="I707">
            <v>-51.664999999999999</v>
          </cell>
        </row>
        <row r="710">
          <cell r="I710">
            <v>64.522999999999996</v>
          </cell>
        </row>
        <row r="711">
          <cell r="I711">
            <v>-63.656999999999996</v>
          </cell>
        </row>
        <row r="714">
          <cell r="I714">
            <v>75.009</v>
          </cell>
        </row>
        <row r="715">
          <cell r="I715">
            <v>-77.856999999999999</v>
          </cell>
        </row>
        <row r="718">
          <cell r="I718">
            <v>60.328000000000003</v>
          </cell>
        </row>
        <row r="719">
          <cell r="I719">
            <v>-70.576999999999998</v>
          </cell>
        </row>
        <row r="1202">
          <cell r="I1202">
            <v>24.373999999999999</v>
          </cell>
        </row>
        <row r="1203">
          <cell r="I1203">
            <v>-19.196000000000002</v>
          </cell>
        </row>
        <row r="1206">
          <cell r="I1206">
            <v>34.496000000000002</v>
          </cell>
        </row>
        <row r="1207">
          <cell r="I1207">
            <v>-36.31</v>
          </cell>
        </row>
        <row r="1210">
          <cell r="I1210">
            <v>49.67</v>
          </cell>
        </row>
        <row r="1211">
          <cell r="I1211">
            <v>-48.121000000000002</v>
          </cell>
        </row>
        <row r="1214">
          <cell r="I1214">
            <v>60.201999999999998</v>
          </cell>
        </row>
        <row r="1215">
          <cell r="I1215">
            <v>-59.051000000000002</v>
          </cell>
        </row>
        <row r="1218">
          <cell r="I1218">
            <v>69.274000000000001</v>
          </cell>
        </row>
        <row r="1219">
          <cell r="I1219">
            <v>-71.409000000000006</v>
          </cell>
        </row>
        <row r="1222">
          <cell r="I1222">
            <v>54.896999999999998</v>
          </cell>
        </row>
        <row r="1223">
          <cell r="I1223">
            <v>-64.77</v>
          </cell>
        </row>
        <row r="1226">
          <cell r="I1226">
            <v>69.938000000000002</v>
          </cell>
        </row>
        <row r="1227">
          <cell r="I1227">
            <v>-35.186</v>
          </cell>
        </row>
        <row r="1230">
          <cell r="I1230">
            <v>95.917000000000002</v>
          </cell>
        </row>
        <row r="1231">
          <cell r="I1231">
            <v>-91.644999999999996</v>
          </cell>
        </row>
        <row r="1234">
          <cell r="I1234">
            <v>138.53200000000001</v>
          </cell>
        </row>
        <row r="1235">
          <cell r="I1235">
            <v>-118.874</v>
          </cell>
        </row>
        <row r="1238">
          <cell r="I1238">
            <v>163.624</v>
          </cell>
        </row>
        <row r="1239">
          <cell r="I1239">
            <v>-148.19800000000001</v>
          </cell>
        </row>
        <row r="1242">
          <cell r="I1242">
            <v>178.001</v>
          </cell>
        </row>
        <row r="1243">
          <cell r="I1243">
            <v>-173.31299999999999</v>
          </cell>
        </row>
        <row r="1246">
          <cell r="I1246">
            <v>165.09700000000001</v>
          </cell>
        </row>
        <row r="1247">
          <cell r="I1247">
            <v>-285.65800000000002</v>
          </cell>
        </row>
        <row r="1250">
          <cell r="I1250">
            <v>70.599999999999994</v>
          </cell>
        </row>
        <row r="1251">
          <cell r="I1251">
            <v>-34.72</v>
          </cell>
        </row>
        <row r="1254">
          <cell r="I1254">
            <v>94.599000000000004</v>
          </cell>
        </row>
        <row r="1255">
          <cell r="I1255">
            <v>-90.194000000000003</v>
          </cell>
        </row>
        <row r="1258">
          <cell r="I1258">
            <v>136.42599999999999</v>
          </cell>
        </row>
        <row r="1259">
          <cell r="I1259">
            <v>-116.14700000000001</v>
          </cell>
        </row>
        <row r="1262">
          <cell r="I1262">
            <v>159.774</v>
          </cell>
        </row>
        <row r="1263">
          <cell r="I1263">
            <v>-143.90799999999999</v>
          </cell>
        </row>
        <row r="1266">
          <cell r="I1266">
            <v>172.12700000000001</v>
          </cell>
        </row>
        <row r="1267">
          <cell r="I1267">
            <v>-166.39599999999999</v>
          </cell>
        </row>
        <row r="1270">
          <cell r="I1270">
            <v>160.464</v>
          </cell>
        </row>
        <row r="1271">
          <cell r="I1271">
            <v>-283.33699999999999</v>
          </cell>
        </row>
        <row r="1274">
          <cell r="I1274">
            <v>25.234000000000002</v>
          </cell>
        </row>
        <row r="1275">
          <cell r="I1275">
            <v>-19.227</v>
          </cell>
        </row>
        <row r="1278">
          <cell r="I1278">
            <v>33.976999999999997</v>
          </cell>
        </row>
        <row r="1279">
          <cell r="I1279">
            <v>-35.933999999999997</v>
          </cell>
        </row>
        <row r="1282">
          <cell r="I1282">
            <v>49.084000000000003</v>
          </cell>
        </row>
        <row r="1283">
          <cell r="I1283">
            <v>-47.142000000000003</v>
          </cell>
        </row>
        <row r="1286">
          <cell r="I1286">
            <v>58.421999999999997</v>
          </cell>
        </row>
        <row r="1287">
          <cell r="I1287">
            <v>-56.881999999999998</v>
          </cell>
        </row>
        <row r="1290">
          <cell r="I1290">
            <v>66.331000000000003</v>
          </cell>
        </row>
        <row r="1291">
          <cell r="I1291">
            <v>-68.114000000000004</v>
          </cell>
        </row>
        <row r="1294">
          <cell r="I1294">
            <v>52.783999999999999</v>
          </cell>
        </row>
        <row r="1295">
          <cell r="I1295">
            <v>-63.713999999999999</v>
          </cell>
        </row>
      </sheetData>
      <sheetData sheetId="1"/>
      <sheetData sheetId="2"/>
      <sheetData sheetId="3">
        <row r="1">
          <cell r="H1" t="str">
            <v>Fx</v>
          </cell>
          <cell r="I1" t="str">
            <v>Fy</v>
          </cell>
        </row>
        <row r="50">
          <cell r="H50">
            <v>54.871000000000002</v>
          </cell>
        </row>
        <row r="51">
          <cell r="H51">
            <v>-48.92</v>
          </cell>
        </row>
        <row r="54">
          <cell r="H54">
            <v>89.531000000000006</v>
          </cell>
        </row>
        <row r="55">
          <cell r="H55">
            <v>-86.378</v>
          </cell>
        </row>
        <row r="58">
          <cell r="H58">
            <v>163.86</v>
          </cell>
        </row>
        <row r="59">
          <cell r="H59">
            <v>-150.845</v>
          </cell>
        </row>
        <row r="62">
          <cell r="H62">
            <v>196.66900000000001</v>
          </cell>
        </row>
        <row r="63">
          <cell r="H63">
            <v>-182.84800000000001</v>
          </cell>
        </row>
        <row r="66">
          <cell r="H66">
            <v>220.767</v>
          </cell>
        </row>
        <row r="67">
          <cell r="H67">
            <v>-206.274</v>
          </cell>
        </row>
        <row r="70">
          <cell r="H70">
            <v>217.64099999999999</v>
          </cell>
        </row>
        <row r="71">
          <cell r="H71">
            <v>-200.369</v>
          </cell>
        </row>
        <row r="74">
          <cell r="H74">
            <v>60.393999999999998</v>
          </cell>
        </row>
        <row r="75">
          <cell r="H75">
            <v>-60.368000000000002</v>
          </cell>
        </row>
        <row r="78">
          <cell r="H78">
            <v>96.897000000000006</v>
          </cell>
        </row>
        <row r="79">
          <cell r="H79">
            <v>-96.91</v>
          </cell>
        </row>
        <row r="82">
          <cell r="H82">
            <v>161.13499999999999</v>
          </cell>
        </row>
        <row r="83">
          <cell r="H83">
            <v>-161.15100000000001</v>
          </cell>
        </row>
        <row r="86">
          <cell r="H86">
            <v>185.73500000000001</v>
          </cell>
        </row>
        <row r="87">
          <cell r="H87">
            <v>-185.786</v>
          </cell>
        </row>
        <row r="90">
          <cell r="H90">
            <v>199.524</v>
          </cell>
        </row>
        <row r="91">
          <cell r="H91">
            <v>-199.601</v>
          </cell>
        </row>
        <row r="94">
          <cell r="H94">
            <v>181.477</v>
          </cell>
        </row>
        <row r="95">
          <cell r="H95">
            <v>-181.59800000000001</v>
          </cell>
        </row>
        <row r="98">
          <cell r="H98">
            <v>49.078000000000003</v>
          </cell>
        </row>
        <row r="99">
          <cell r="H99">
            <v>-54.966999999999999</v>
          </cell>
        </row>
        <row r="102">
          <cell r="H102">
            <v>86.221000000000004</v>
          </cell>
        </row>
        <row r="103">
          <cell r="H103">
            <v>-89.337999999999994</v>
          </cell>
        </row>
        <row r="106">
          <cell r="H106">
            <v>150.518</v>
          </cell>
        </row>
        <row r="107">
          <cell r="H107">
            <v>-163.393</v>
          </cell>
        </row>
        <row r="110">
          <cell r="H110">
            <v>182.12</v>
          </cell>
        </row>
        <row r="111">
          <cell r="H111">
            <v>-195.79300000000001</v>
          </cell>
        </row>
        <row r="114">
          <cell r="H114">
            <v>205.09399999999999</v>
          </cell>
        </row>
        <row r="115">
          <cell r="H115">
            <v>-219.43299999999999</v>
          </cell>
        </row>
        <row r="118">
          <cell r="H118">
            <v>199.03100000000001</v>
          </cell>
        </row>
        <row r="119">
          <cell r="H119">
            <v>-216.13300000000001</v>
          </cell>
        </row>
        <row r="362">
          <cell r="H362">
            <v>55.433</v>
          </cell>
        </row>
        <row r="363">
          <cell r="H363">
            <v>-54.087000000000003</v>
          </cell>
        </row>
        <row r="366">
          <cell r="H366">
            <v>88.816000000000003</v>
          </cell>
        </row>
        <row r="367">
          <cell r="H367">
            <v>-88.05</v>
          </cell>
        </row>
        <row r="370">
          <cell r="H370">
            <v>171.23099999999999</v>
          </cell>
        </row>
        <row r="371">
          <cell r="H371">
            <v>-169.56700000000001</v>
          </cell>
        </row>
        <row r="374">
          <cell r="H374">
            <v>207.56299999999999</v>
          </cell>
        </row>
        <row r="375">
          <cell r="H375">
            <v>-205.68700000000001</v>
          </cell>
        </row>
        <row r="378">
          <cell r="H378">
            <v>235.52099999999999</v>
          </cell>
        </row>
        <row r="379">
          <cell r="H379">
            <v>-233.63300000000001</v>
          </cell>
        </row>
        <row r="382">
          <cell r="H382">
            <v>236.48</v>
          </cell>
        </row>
        <row r="383">
          <cell r="H383">
            <v>-234.11699999999999</v>
          </cell>
        </row>
        <row r="386">
          <cell r="H386">
            <v>14.8</v>
          </cell>
        </row>
        <row r="387">
          <cell r="H387">
            <v>-13.101000000000001</v>
          </cell>
        </row>
        <row r="390">
          <cell r="H390">
            <v>21.521000000000001</v>
          </cell>
        </row>
        <row r="391">
          <cell r="H391">
            <v>-20.381</v>
          </cell>
        </row>
        <row r="394">
          <cell r="H394">
            <v>23.597999999999999</v>
          </cell>
        </row>
        <row r="395">
          <cell r="H395">
            <v>-22.934999999999999</v>
          </cell>
        </row>
        <row r="398">
          <cell r="H398">
            <v>26.483000000000001</v>
          </cell>
        </row>
        <row r="399">
          <cell r="H399">
            <v>-25.721</v>
          </cell>
        </row>
        <row r="402">
          <cell r="H402">
            <v>28.134</v>
          </cell>
        </row>
        <row r="403">
          <cell r="H403">
            <v>-27.471</v>
          </cell>
        </row>
        <row r="406">
          <cell r="H406">
            <v>26.218</v>
          </cell>
        </row>
        <row r="407">
          <cell r="H407">
            <v>-25.591000000000001</v>
          </cell>
        </row>
        <row r="458">
          <cell r="I458">
            <v>28.632999999999999</v>
          </cell>
        </row>
        <row r="459">
          <cell r="I459">
            <v>-35.511000000000003</v>
          </cell>
        </row>
        <row r="462">
          <cell r="I462">
            <v>55.506</v>
          </cell>
        </row>
        <row r="463">
          <cell r="I463">
            <v>-60.78</v>
          </cell>
        </row>
        <row r="466">
          <cell r="I466">
            <v>89.245000000000005</v>
          </cell>
        </row>
        <row r="467">
          <cell r="I467">
            <v>-106.43899999999999</v>
          </cell>
        </row>
        <row r="470">
          <cell r="I470">
            <v>108.24299999999999</v>
          </cell>
        </row>
        <row r="471">
          <cell r="I471">
            <v>-127.679</v>
          </cell>
        </row>
        <row r="474">
          <cell r="I474">
            <v>123.005</v>
          </cell>
        </row>
        <row r="475">
          <cell r="I475">
            <v>-143.85499999999999</v>
          </cell>
        </row>
        <row r="478">
          <cell r="I478">
            <v>120.613</v>
          </cell>
        </row>
        <row r="479">
          <cell r="I479">
            <v>-146.79</v>
          </cell>
        </row>
        <row r="482">
          <cell r="I482">
            <v>31.629000000000001</v>
          </cell>
        </row>
        <row r="483">
          <cell r="I483">
            <v>-24.989000000000001</v>
          </cell>
        </row>
        <row r="486">
          <cell r="I486">
            <v>64.504000000000005</v>
          </cell>
        </row>
        <row r="487">
          <cell r="I487">
            <v>-55.57</v>
          </cell>
        </row>
        <row r="490">
          <cell r="I490">
            <v>116.55500000000001</v>
          </cell>
        </row>
        <row r="491">
          <cell r="I491">
            <v>-90.856999999999999</v>
          </cell>
        </row>
        <row r="494">
          <cell r="I494">
            <v>148.73500000000001</v>
          </cell>
        </row>
        <row r="495">
          <cell r="I495">
            <v>-115.736</v>
          </cell>
        </row>
        <row r="498">
          <cell r="I498">
            <v>177.136</v>
          </cell>
        </row>
        <row r="499">
          <cell r="I499">
            <v>-138.27199999999999</v>
          </cell>
        </row>
        <row r="502">
          <cell r="I502">
            <v>189.227</v>
          </cell>
        </row>
        <row r="503">
          <cell r="I503">
            <v>-137.96600000000001</v>
          </cell>
        </row>
        <row r="866">
          <cell r="I866">
            <v>24.373999999999999</v>
          </cell>
        </row>
        <row r="867">
          <cell r="I867">
            <v>-29.96</v>
          </cell>
        </row>
        <row r="870">
          <cell r="I870">
            <v>53.148000000000003</v>
          </cell>
        </row>
        <row r="871">
          <cell r="I871">
            <v>-61.051000000000002</v>
          </cell>
        </row>
        <row r="874">
          <cell r="I874">
            <v>85.466999999999999</v>
          </cell>
        </row>
        <row r="875">
          <cell r="I875">
            <v>-106.622</v>
          </cell>
        </row>
        <row r="878">
          <cell r="I878">
            <v>107.896</v>
          </cell>
        </row>
        <row r="879">
          <cell r="I879">
            <v>-135.00299999999999</v>
          </cell>
        </row>
        <row r="882">
          <cell r="I882">
            <v>127.95</v>
          </cell>
        </row>
        <row r="883">
          <cell r="I883">
            <v>-159.93</v>
          </cell>
        </row>
        <row r="886">
          <cell r="I886">
            <v>126.09399999999999</v>
          </cell>
        </row>
        <row r="887">
          <cell r="I887">
            <v>-166.65700000000001</v>
          </cell>
        </row>
        <row r="890">
          <cell r="I890">
            <v>40.058999999999997</v>
          </cell>
        </row>
        <row r="891">
          <cell r="I891">
            <v>-39.927999999999997</v>
          </cell>
        </row>
        <row r="894">
          <cell r="I894">
            <v>66.212999999999994</v>
          </cell>
        </row>
        <row r="895">
          <cell r="I895">
            <v>-66.311000000000007</v>
          </cell>
        </row>
        <row r="898">
          <cell r="I898">
            <v>120.423</v>
          </cell>
        </row>
        <row r="899">
          <cell r="I899">
            <v>-120.626</v>
          </cell>
        </row>
        <row r="902">
          <cell r="I902">
            <v>144.90299999999999</v>
          </cell>
        </row>
        <row r="903">
          <cell r="I903">
            <v>-145.358</v>
          </cell>
        </row>
        <row r="906">
          <cell r="I906">
            <v>164.01900000000001</v>
          </cell>
        </row>
        <row r="907">
          <cell r="I907">
            <v>-164.66399999999999</v>
          </cell>
        </row>
        <row r="910">
          <cell r="I910">
            <v>170.072</v>
          </cell>
        </row>
        <row r="911">
          <cell r="I911">
            <v>-171.15199999999999</v>
          </cell>
        </row>
        <row r="914">
          <cell r="I914">
            <v>30.696999999999999</v>
          </cell>
        </row>
        <row r="915">
          <cell r="I915">
            <v>-25.234000000000002</v>
          </cell>
        </row>
        <row r="918">
          <cell r="I918">
            <v>59.33</v>
          </cell>
        </row>
        <row r="919">
          <cell r="I919">
            <v>-52.720999999999997</v>
          </cell>
        </row>
        <row r="922">
          <cell r="I922">
            <v>102.895</v>
          </cell>
        </row>
        <row r="923">
          <cell r="I923">
            <v>-84.534999999999997</v>
          </cell>
        </row>
        <row r="926">
          <cell r="I926">
            <v>127.97499999999999</v>
          </cell>
        </row>
        <row r="927">
          <cell r="I927">
            <v>-105.149</v>
          </cell>
        </row>
        <row r="930">
          <cell r="I930">
            <v>149.108</v>
          </cell>
        </row>
        <row r="931">
          <cell r="I931">
            <v>-122.84</v>
          </cell>
        </row>
        <row r="934">
          <cell r="I934">
            <v>153.97900000000001</v>
          </cell>
        </row>
        <row r="935">
          <cell r="I935">
            <v>-120.681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B28">
            <v>0.79396810039451493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C28">
            <v>6.5651699505925185E-2</v>
          </cell>
          <cell r="D28">
            <v>8.5191911065204684E-2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B28">
            <v>0.69167956685069887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C28">
            <v>7.5360553705126787E-2</v>
          </cell>
          <cell r="D28">
            <v>9.7790455348262806E-2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tipo30x70 2 tr emerg"/>
      <sheetName val="x p.tipo30x70 1 tr emer"/>
      <sheetName val="x p.tipo 70x30 1 tr emerg"/>
      <sheetName val=" x p.tipo 70x30 2 spess"/>
      <sheetName val="x p.tipo 70x30 1 spess"/>
      <sheetName val="y 30x80 2 tr emerg"/>
      <sheetName val="y 30x70 1 tr emerg"/>
      <sheetName val="y 70x30 2 tr emerg"/>
      <sheetName val="y 70x30 1 tr emerg"/>
      <sheetName val="y 70x30 1 tr spess"/>
    </sheetNames>
    <sheetDataSet>
      <sheetData sheetId="0">
        <row r="5">
          <cell r="L5">
            <v>32.124220207247788</v>
          </cell>
        </row>
      </sheetData>
      <sheetData sheetId="1">
        <row r="5">
          <cell r="L5">
            <v>19.175840563420966</v>
          </cell>
        </row>
      </sheetData>
      <sheetData sheetId="2">
        <row r="5">
          <cell r="L5">
            <v>10.300838347113535</v>
          </cell>
        </row>
      </sheetData>
      <sheetData sheetId="3">
        <row r="5">
          <cell r="L5">
            <v>3.5852091840472422</v>
          </cell>
        </row>
      </sheetData>
      <sheetData sheetId="4">
        <row r="5">
          <cell r="L5">
            <v>1.9888322574175896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terra30x70 2 tr emerg"/>
      <sheetName val="x p.terra30x70 1 tr emer"/>
      <sheetName val="x p.tipo 70x30 1 tr emerg"/>
      <sheetName val=" x p.tipo 70x30 2 spess"/>
      <sheetName val="x p.tipo 70x30 1 spess"/>
      <sheetName val="y 30x70 2 tr emerg"/>
      <sheetName val="y 30x70 1 tr emerg"/>
      <sheetName val="y 70x30 2 tr emerg"/>
      <sheetName val="y 70x30 1 tr emerg"/>
      <sheetName val="y 70x30 1 tr spess"/>
    </sheetNames>
    <sheetDataSet>
      <sheetData sheetId="0">
        <row r="5">
          <cell r="L5">
            <v>37.824529120484691</v>
          </cell>
        </row>
      </sheetData>
      <sheetData sheetId="1">
        <row r="5">
          <cell r="L5">
            <v>30.123174952428801</v>
          </cell>
        </row>
      </sheetData>
      <sheetData sheetId="2">
        <row r="5">
          <cell r="L5">
            <v>9.0583298961183534</v>
          </cell>
        </row>
      </sheetData>
      <sheetData sheetId="3">
        <row r="5">
          <cell r="L5">
            <v>5.5734360701465597</v>
          </cell>
        </row>
      </sheetData>
      <sheetData sheetId="4">
        <row r="5">
          <cell r="L5">
            <v>4.4874313177713931</v>
          </cell>
        </row>
      </sheetData>
      <sheetData sheetId="5">
        <row r="5">
          <cell r="L5">
            <v>37.110254290115428</v>
          </cell>
        </row>
      </sheetData>
      <sheetData sheetId="6">
        <row r="5">
          <cell r="L5">
            <v>29.530584436482165</v>
          </cell>
        </row>
      </sheetData>
      <sheetData sheetId="7">
        <row r="5">
          <cell r="L5">
            <v>10.08272882530783</v>
          </cell>
        </row>
      </sheetData>
      <sheetData sheetId="8">
        <row r="5">
          <cell r="L5">
            <v>8.9443829065549689</v>
          </cell>
        </row>
      </sheetData>
      <sheetData sheetId="9">
        <row r="5">
          <cell r="L5">
            <v>5.0596785086392035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p.tipo30x80 2 tr emerg"/>
      <sheetName val="x p.tipo30x80 1 tr emer"/>
      <sheetName val="x p.tipo 80x30 1 tr emerg"/>
      <sheetName val=" x p.tipo 80x30 2 spess"/>
      <sheetName val="x p.tipo 80x30 1 spess"/>
      <sheetName val="y 30x80 2 tr emerg"/>
      <sheetName val="y 30x80 1 tr emerg"/>
      <sheetName val="y 80x30 2 tr emerg"/>
      <sheetName val="y 80x30 1 tr emerg"/>
      <sheetName val="y 80x30 1 tr sp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L5">
            <v>30.832326920475296</v>
          </cell>
        </row>
      </sheetData>
      <sheetData sheetId="6" refreshError="1">
        <row r="5">
          <cell r="L5">
            <v>18.262300425358582</v>
          </cell>
        </row>
      </sheetData>
      <sheetData sheetId="7" refreshError="1">
        <row r="5">
          <cell r="L5">
            <v>12.925906090782766</v>
          </cell>
        </row>
      </sheetData>
      <sheetData sheetId="8" refreshError="1">
        <row r="5">
          <cell r="L5">
            <v>10.031283698777857</v>
          </cell>
        </row>
      </sheetData>
      <sheetData sheetId="9" refreshError="1">
        <row r="5">
          <cell r="L5">
            <v>2.8068958138180466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terr 2 tr emerg 30x70"/>
      <sheetName val="x terr 1 tr emerg 30x70"/>
      <sheetName val="70x30 1 trav emerg x terr"/>
      <sheetName val="x terr 70x30 2 sp"/>
      <sheetName val="x 70x30 1 sp"/>
      <sheetName val=" y 30x70 2 tr emetg"/>
      <sheetName val="y 30x70 1 tr emerg"/>
      <sheetName val="y 70x30 2 tr emerg"/>
      <sheetName val="y 70x 30 1 tr emergente"/>
      <sheetName val="y 70x30 1 sp"/>
    </sheetNames>
    <sheetDataSet>
      <sheetData sheetId="0">
        <row r="5">
          <cell r="L5">
            <v>21.53707100714005</v>
          </cell>
        </row>
      </sheetData>
      <sheetData sheetId="1">
        <row r="5">
          <cell r="L5">
            <v>12.084041590728967</v>
          </cell>
        </row>
      </sheetData>
      <sheetData sheetId="2">
        <row r="5">
          <cell r="L5">
            <v>7.8318167712217353</v>
          </cell>
        </row>
      </sheetData>
      <sheetData sheetId="3">
        <row r="5">
          <cell r="L5">
            <v>3.5852091840472422</v>
          </cell>
        </row>
      </sheetData>
      <sheetData sheetId="4">
        <row r="5">
          <cell r="L5">
            <v>1.9888322574175896</v>
          </cell>
        </row>
      </sheetData>
      <sheetData sheetId="5">
        <row r="5">
          <cell r="L5">
            <v>20.540016477892124</v>
          </cell>
        </row>
      </sheetData>
      <sheetData sheetId="6">
        <row r="5">
          <cell r="L5">
            <v>11.459802688385174</v>
          </cell>
        </row>
      </sheetData>
      <sheetData sheetId="7">
        <row r="5">
          <cell r="L5">
            <v>10.681937318567646</v>
          </cell>
        </row>
      </sheetData>
      <sheetData sheetId="8">
        <row r="5">
          <cell r="L5">
            <v>7.5647507595373149</v>
          </cell>
        </row>
      </sheetData>
      <sheetData sheetId="9">
        <row r="5">
          <cell r="L5">
            <v>2.8068958138180466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78"/>
  <sheetViews>
    <sheetView tabSelected="1" topLeftCell="A22" zoomScale="80" zoomScaleNormal="80" workbookViewId="0">
      <selection activeCell="B29" sqref="B29"/>
    </sheetView>
  </sheetViews>
  <sheetFormatPr defaultRowHeight="15" x14ac:dyDescent="0.25"/>
  <cols>
    <col min="1" max="1" width="38.140625" customWidth="1"/>
    <col min="2" max="2" width="16" customWidth="1"/>
    <col min="3" max="3" width="19.28515625" customWidth="1"/>
    <col min="4" max="4" width="35.85546875" customWidth="1"/>
    <col min="5" max="5" width="24.85546875" customWidth="1"/>
    <col min="6" max="6" width="22.7109375" customWidth="1"/>
    <col min="7" max="7" width="21.28515625" customWidth="1"/>
    <col min="8" max="8" width="19.7109375" customWidth="1"/>
    <col min="9" max="9" width="35.7109375" customWidth="1"/>
    <col min="10" max="10" width="19.140625" customWidth="1"/>
    <col min="11" max="11" width="22.7109375" customWidth="1"/>
    <col min="12" max="12" width="24" customWidth="1"/>
    <col min="13" max="13" width="17.28515625" customWidth="1"/>
    <col min="14" max="14" width="25.140625" customWidth="1"/>
    <col min="15" max="15" width="19.42578125" customWidth="1"/>
    <col min="16" max="16" width="23.85546875" customWidth="1"/>
    <col min="17" max="17" width="26.5703125" customWidth="1"/>
    <col min="18" max="18" width="21" customWidth="1"/>
    <col min="19" max="19" width="14.28515625" customWidth="1"/>
    <col min="20" max="20" width="21.28515625" customWidth="1"/>
    <col min="21" max="21" width="22.5703125" customWidth="1"/>
    <col min="22" max="22" width="21.140625" customWidth="1"/>
    <col min="23" max="23" width="16.85546875" customWidth="1"/>
    <col min="24" max="24" width="22.5703125" customWidth="1"/>
    <col min="25" max="25" width="16.140625" customWidth="1"/>
    <col min="26" max="26" width="14.7109375" customWidth="1"/>
    <col min="27" max="27" width="14" customWidth="1"/>
    <col min="28" max="28" width="14.85546875" customWidth="1"/>
    <col min="29" max="29" width="25.140625" customWidth="1"/>
    <col min="30" max="30" width="23.85546875" customWidth="1"/>
    <col min="31" max="31" width="24.28515625" customWidth="1"/>
    <col min="32" max="32" width="38.85546875" customWidth="1"/>
    <col min="33" max="33" width="22.85546875" customWidth="1"/>
  </cols>
  <sheetData>
    <row r="1" spans="1:32" x14ac:dyDescent="0.25">
      <c r="A1" s="1" t="s">
        <v>1</v>
      </c>
      <c r="B1" s="1">
        <f>4.68</f>
        <v>4.68</v>
      </c>
      <c r="D1" s="247" t="s">
        <v>66</v>
      </c>
      <c r="E1" s="248"/>
      <c r="F1" s="248"/>
      <c r="G1" s="248"/>
      <c r="H1" s="248"/>
      <c r="I1" s="248"/>
      <c r="J1" s="248"/>
      <c r="K1" s="249"/>
      <c r="M1" s="272" t="s">
        <v>23</v>
      </c>
      <c r="N1" s="272"/>
      <c r="O1" s="272"/>
      <c r="P1" s="272"/>
      <c r="Q1" s="272"/>
      <c r="R1" s="272"/>
      <c r="S1" s="272"/>
      <c r="T1" s="272"/>
      <c r="U1" s="272"/>
      <c r="V1" s="272"/>
      <c r="W1" s="272"/>
      <c r="Y1" s="272" t="s">
        <v>94</v>
      </c>
      <c r="Z1" s="272"/>
      <c r="AA1" s="272"/>
      <c r="AB1" s="272"/>
      <c r="AC1" s="272"/>
      <c r="AD1" s="272"/>
      <c r="AE1" s="272"/>
      <c r="AF1" s="272"/>
    </row>
    <row r="2" spans="1:32" x14ac:dyDescent="0.25">
      <c r="A2" s="1" t="s">
        <v>0</v>
      </c>
      <c r="B2" s="2">
        <f>$B$1/25</f>
        <v>0.18719999999999998</v>
      </c>
      <c r="D2" s="251" t="s">
        <v>75</v>
      </c>
      <c r="E2" s="252"/>
      <c r="F2" s="252"/>
      <c r="G2" s="252"/>
      <c r="H2" s="252"/>
      <c r="I2" s="252"/>
      <c r="J2" s="252"/>
      <c r="K2" s="268"/>
      <c r="M2" s="266" t="s">
        <v>24</v>
      </c>
      <c r="N2" s="266"/>
      <c r="O2" s="266" t="s">
        <v>25</v>
      </c>
      <c r="P2" s="266"/>
      <c r="Q2" s="273" t="s">
        <v>11</v>
      </c>
      <c r="R2" s="273"/>
      <c r="S2" s="273" t="s">
        <v>27</v>
      </c>
      <c r="T2" s="273"/>
      <c r="U2" s="273" t="s">
        <v>5</v>
      </c>
      <c r="V2" s="273"/>
      <c r="W2" s="273"/>
      <c r="Y2" s="264" t="s">
        <v>2</v>
      </c>
      <c r="Z2" s="264"/>
      <c r="AA2" s="264"/>
      <c r="AB2" s="264"/>
      <c r="AC2" s="264"/>
      <c r="AD2" s="264"/>
      <c r="AE2" s="264"/>
      <c r="AF2" s="264"/>
    </row>
    <row r="3" spans="1:32" x14ac:dyDescent="0.25">
      <c r="D3" s="269" t="s">
        <v>3</v>
      </c>
      <c r="E3" s="270"/>
      <c r="F3" s="270"/>
      <c r="G3" s="270"/>
      <c r="H3" s="270"/>
      <c r="I3" s="270"/>
      <c r="J3" s="270"/>
      <c r="K3" s="271"/>
      <c r="M3" s="242" t="s">
        <v>4</v>
      </c>
      <c r="N3" s="242"/>
      <c r="O3" s="242" t="s">
        <v>4</v>
      </c>
      <c r="P3" s="242"/>
      <c r="Q3" s="273"/>
      <c r="R3" s="273"/>
      <c r="S3" s="273"/>
      <c r="T3" s="273"/>
      <c r="U3" s="273"/>
      <c r="V3" s="273"/>
      <c r="W3" s="273"/>
      <c r="Y3" s="266" t="s">
        <v>3</v>
      </c>
      <c r="Z3" s="266"/>
      <c r="AA3" s="266"/>
      <c r="AB3" s="266"/>
      <c r="AC3" s="266"/>
      <c r="AD3" s="266"/>
      <c r="AE3" s="266"/>
      <c r="AF3" s="266"/>
    </row>
    <row r="4" spans="1:32" x14ac:dyDescent="0.25">
      <c r="D4" s="259" t="s">
        <v>4</v>
      </c>
      <c r="E4" s="261"/>
      <c r="F4" s="259" t="s">
        <v>17</v>
      </c>
      <c r="G4" s="260"/>
      <c r="H4" s="261"/>
      <c r="I4" s="259" t="s">
        <v>5</v>
      </c>
      <c r="J4" s="260"/>
      <c r="K4" s="261"/>
      <c r="M4" s="242">
        <v>0.12</v>
      </c>
      <c r="N4" s="242"/>
      <c r="O4" s="242">
        <v>0.08</v>
      </c>
      <c r="P4" s="242"/>
      <c r="Q4" s="242">
        <f>C25-C24</f>
        <v>2.8600000000000003</v>
      </c>
      <c r="R4" s="242"/>
      <c r="S4" s="242">
        <v>6</v>
      </c>
      <c r="T4" s="242"/>
      <c r="U4" s="242">
        <f>($M$4+$O$4)*$Q$4*$S$4</f>
        <v>3.4320000000000004</v>
      </c>
      <c r="V4" s="242"/>
      <c r="W4" s="242"/>
      <c r="Y4" s="241" t="s">
        <v>4</v>
      </c>
      <c r="Z4" s="241"/>
      <c r="AA4" s="241" t="s">
        <v>17</v>
      </c>
      <c r="AB4" s="241"/>
      <c r="AC4" s="241"/>
      <c r="AD4" s="241" t="s">
        <v>5</v>
      </c>
      <c r="AE4" s="241"/>
      <c r="AF4" s="241"/>
    </row>
    <row r="5" spans="1:32" x14ac:dyDescent="0.25">
      <c r="D5" s="34">
        <v>0.04</v>
      </c>
      <c r="E5" s="31"/>
      <c r="F5" s="25">
        <v>25</v>
      </c>
      <c r="G5" s="26"/>
      <c r="H5" s="27"/>
      <c r="I5" s="25">
        <f>$D$5*$F$5*1*1</f>
        <v>1</v>
      </c>
      <c r="J5" s="26"/>
      <c r="K5" s="27"/>
      <c r="M5" s="264" t="s">
        <v>22</v>
      </c>
      <c r="N5" s="264"/>
      <c r="O5" s="264"/>
      <c r="P5" s="264"/>
      <c r="Q5" s="264"/>
      <c r="R5" s="264"/>
      <c r="S5" s="264"/>
      <c r="T5" s="264"/>
      <c r="U5" s="264"/>
      <c r="V5" s="264"/>
      <c r="W5" s="264"/>
      <c r="Y5" s="242">
        <v>0.04</v>
      </c>
      <c r="Z5" s="242"/>
      <c r="AA5" s="242">
        <v>25</v>
      </c>
      <c r="AB5" s="242"/>
      <c r="AC5" s="242"/>
      <c r="AD5" s="242">
        <f>$D$5*$F$5*1*1</f>
        <v>1</v>
      </c>
      <c r="AE5" s="242"/>
      <c r="AF5" s="242"/>
    </row>
    <row r="6" spans="1:32" x14ac:dyDescent="0.25">
      <c r="D6" s="269" t="s">
        <v>6</v>
      </c>
      <c r="E6" s="270"/>
      <c r="F6" s="270"/>
      <c r="G6" s="270"/>
      <c r="H6" s="270"/>
      <c r="I6" s="270"/>
      <c r="J6" s="270"/>
      <c r="K6" s="271"/>
      <c r="M6" s="250" t="s">
        <v>4</v>
      </c>
      <c r="N6" s="250"/>
      <c r="O6" s="250" t="s">
        <v>29</v>
      </c>
      <c r="P6" s="250"/>
      <c r="Q6" s="250" t="s">
        <v>26</v>
      </c>
      <c r="R6" s="250"/>
      <c r="S6" s="250"/>
      <c r="T6" s="250"/>
      <c r="U6" s="250" t="s">
        <v>30</v>
      </c>
      <c r="V6" s="250"/>
      <c r="W6" s="250"/>
      <c r="Y6" s="266" t="s">
        <v>6</v>
      </c>
      <c r="Z6" s="266"/>
      <c r="AA6" s="266"/>
      <c r="AB6" s="266"/>
      <c r="AC6" s="266"/>
      <c r="AD6" s="266"/>
      <c r="AE6" s="266"/>
      <c r="AF6" s="266"/>
    </row>
    <row r="7" spans="1:32" x14ac:dyDescent="0.25">
      <c r="A7" s="100" t="s">
        <v>173</v>
      </c>
      <c r="B7" s="97"/>
      <c r="D7" s="20" t="s">
        <v>7</v>
      </c>
      <c r="E7" s="20" t="s">
        <v>8</v>
      </c>
      <c r="F7" s="20" t="s">
        <v>9</v>
      </c>
      <c r="G7" s="20" t="s">
        <v>10</v>
      </c>
      <c r="H7" s="20" t="s">
        <v>11</v>
      </c>
      <c r="I7" s="20" t="s">
        <v>12</v>
      </c>
      <c r="J7" s="20" t="s">
        <v>13</v>
      </c>
      <c r="K7" s="20" t="s">
        <v>14</v>
      </c>
      <c r="M7" s="242">
        <v>0.04</v>
      </c>
      <c r="N7" s="242"/>
      <c r="O7" s="242">
        <f>Q4</f>
        <v>2.8600000000000003</v>
      </c>
      <c r="P7" s="242"/>
      <c r="Q7" s="242">
        <v>20</v>
      </c>
      <c r="R7" s="242"/>
      <c r="S7" s="242"/>
      <c r="T7" s="242"/>
      <c r="U7" s="242">
        <f>$M$7*$O$7*$Q$7*1</f>
        <v>2.2880000000000003</v>
      </c>
      <c r="V7" s="242"/>
      <c r="W7" s="242"/>
      <c r="Y7" s="3" t="s">
        <v>7</v>
      </c>
      <c r="Z7" s="3" t="s">
        <v>8</v>
      </c>
      <c r="AA7" s="3" t="s">
        <v>9</v>
      </c>
      <c r="AB7" s="3" t="s">
        <v>10</v>
      </c>
      <c r="AC7" s="3" t="s">
        <v>11</v>
      </c>
      <c r="AD7" s="3" t="s">
        <v>12</v>
      </c>
      <c r="AE7" s="3" t="s">
        <v>13</v>
      </c>
      <c r="AF7" s="3" t="s">
        <v>14</v>
      </c>
    </row>
    <row r="8" spans="1:32" x14ac:dyDescent="0.25">
      <c r="A8" s="28" t="s">
        <v>253</v>
      </c>
      <c r="B8" s="28" t="s">
        <v>53</v>
      </c>
      <c r="C8" s="33"/>
      <c r="D8" s="21">
        <v>0.25</v>
      </c>
      <c r="E8" s="21">
        <v>0.04</v>
      </c>
      <c r="F8" s="21">
        <f>$D$8+($E$8*2)</f>
        <v>0.33</v>
      </c>
      <c r="G8" s="21">
        <v>0.4</v>
      </c>
      <c r="H8" s="24">
        <v>0.18</v>
      </c>
      <c r="I8" s="21">
        <v>7.5999999999999998E-2</v>
      </c>
      <c r="J8" s="21">
        <v>7.5</v>
      </c>
      <c r="K8" s="21">
        <f>$I$8*$J$8</f>
        <v>0.56999999999999995</v>
      </c>
      <c r="M8" s="243" t="s">
        <v>21</v>
      </c>
      <c r="N8" s="242"/>
      <c r="O8" s="242"/>
      <c r="P8" s="242"/>
      <c r="Q8" s="242"/>
      <c r="R8" s="242"/>
      <c r="S8" s="242"/>
      <c r="T8" s="242"/>
      <c r="U8" s="243">
        <f>$U$4+$U$7</f>
        <v>5.7200000000000006</v>
      </c>
      <c r="V8" s="243"/>
      <c r="W8" s="243"/>
      <c r="Y8" s="4">
        <v>0.25</v>
      </c>
      <c r="Z8" s="4">
        <v>0.04</v>
      </c>
      <c r="AA8" s="4">
        <f>$D$8+($E$8*2)</f>
        <v>0.33</v>
      </c>
      <c r="AB8" s="4">
        <v>0.4</v>
      </c>
      <c r="AC8" s="4">
        <v>0.18</v>
      </c>
      <c r="AD8" s="4">
        <v>7.5999999999999998E-2</v>
      </c>
      <c r="AE8" s="4">
        <v>7.5</v>
      </c>
      <c r="AF8" s="4">
        <f>$I$8*$J$8</f>
        <v>0.56999999999999995</v>
      </c>
    </row>
    <row r="9" spans="1:32" x14ac:dyDescent="0.25">
      <c r="A9" s="28" t="s">
        <v>69</v>
      </c>
      <c r="B9" s="32">
        <f>I5</f>
        <v>1</v>
      </c>
      <c r="C9" s="33"/>
      <c r="D9" s="269" t="s">
        <v>15</v>
      </c>
      <c r="E9" s="270"/>
      <c r="F9" s="270"/>
      <c r="G9" s="270"/>
      <c r="H9" s="270"/>
      <c r="I9" s="270"/>
      <c r="J9" s="270"/>
      <c r="K9" s="271"/>
      <c r="Y9" s="266" t="s">
        <v>15</v>
      </c>
      <c r="Z9" s="250"/>
      <c r="AA9" s="250"/>
      <c r="AB9" s="250"/>
      <c r="AC9" s="250"/>
      <c r="AD9" s="250"/>
      <c r="AE9" s="250"/>
      <c r="AF9" s="250"/>
    </row>
    <row r="10" spans="1:32" x14ac:dyDescent="0.25">
      <c r="A10" s="28" t="s">
        <v>68</v>
      </c>
      <c r="B10" s="32">
        <f>K8</f>
        <v>0.56999999999999995</v>
      </c>
      <c r="C10" s="33"/>
      <c r="D10" s="20" t="s">
        <v>16</v>
      </c>
      <c r="E10" s="20" t="s">
        <v>7</v>
      </c>
      <c r="F10" s="20" t="s">
        <v>11</v>
      </c>
      <c r="G10" s="259" t="s">
        <v>18</v>
      </c>
      <c r="H10" s="260"/>
      <c r="I10" s="261"/>
      <c r="J10" s="259" t="s">
        <v>5</v>
      </c>
      <c r="K10" s="261"/>
      <c r="M10" s="272" t="s">
        <v>82</v>
      </c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Y10" s="3" t="s">
        <v>16</v>
      </c>
      <c r="Z10" s="3" t="s">
        <v>7</v>
      </c>
      <c r="AA10" s="3" t="s">
        <v>11</v>
      </c>
      <c r="AB10" s="241" t="s">
        <v>18</v>
      </c>
      <c r="AC10" s="241"/>
      <c r="AD10" s="241"/>
      <c r="AE10" s="259" t="s">
        <v>5</v>
      </c>
      <c r="AF10" s="261"/>
    </row>
    <row r="11" spans="1:32" x14ac:dyDescent="0.25">
      <c r="A11" s="28" t="s">
        <v>67</v>
      </c>
      <c r="B11" s="32">
        <f>J11</f>
        <v>1.0799999999999998</v>
      </c>
      <c r="C11" s="33"/>
      <c r="D11" s="21">
        <v>3</v>
      </c>
      <c r="E11" s="21">
        <v>0.08</v>
      </c>
      <c r="F11" s="21">
        <v>0.18</v>
      </c>
      <c r="G11" s="25">
        <v>25</v>
      </c>
      <c r="H11" s="26"/>
      <c r="I11" s="27"/>
      <c r="J11" s="25">
        <f>$D$11*$E$11*$F$11*$G$11*1</f>
        <v>1.0799999999999998</v>
      </c>
      <c r="K11" s="27"/>
      <c r="M11" s="250" t="s">
        <v>18</v>
      </c>
      <c r="N11" s="250"/>
      <c r="O11" s="250"/>
      <c r="P11" s="5" t="str">
        <f>N24</f>
        <v>larghezza</v>
      </c>
      <c r="Q11" s="23" t="s">
        <v>32</v>
      </c>
      <c r="R11" s="250" t="s">
        <v>30</v>
      </c>
      <c r="S11" s="250"/>
      <c r="T11" s="250"/>
      <c r="U11" s="250" t="s">
        <v>33</v>
      </c>
      <c r="V11" s="250"/>
      <c r="W11" s="250"/>
      <c r="Y11" s="4">
        <v>3</v>
      </c>
      <c r="Z11" s="4">
        <v>0.08</v>
      </c>
      <c r="AA11" s="4">
        <v>0.18</v>
      </c>
      <c r="AB11" s="274">
        <v>25</v>
      </c>
      <c r="AC11" s="275"/>
      <c r="AD11" s="276"/>
      <c r="AE11" s="274">
        <f>$D$11*$E$11*$F$11*$G$11*1</f>
        <v>1.0799999999999998</v>
      </c>
      <c r="AF11" s="276"/>
    </row>
    <row r="12" spans="1:32" x14ac:dyDescent="0.25">
      <c r="A12" s="28" t="s">
        <v>55</v>
      </c>
      <c r="B12" s="32">
        <f>J12</f>
        <v>2.6499999999999995</v>
      </c>
      <c r="C12" s="33"/>
      <c r="D12" s="256" t="s">
        <v>21</v>
      </c>
      <c r="E12" s="257"/>
      <c r="F12" s="257"/>
      <c r="G12" s="257"/>
      <c r="H12" s="257"/>
      <c r="I12" s="258"/>
      <c r="J12" s="29">
        <f>$I$5+$K$8+$J$11</f>
        <v>2.6499999999999995</v>
      </c>
      <c r="K12" s="30"/>
      <c r="M12" s="242">
        <v>25</v>
      </c>
      <c r="N12" s="242"/>
      <c r="O12" s="242"/>
      <c r="P12" s="6">
        <v>0.3</v>
      </c>
      <c r="Q12" s="6">
        <v>0.6</v>
      </c>
      <c r="R12" s="242">
        <f>$M$12*$P$12*$Q$12*1</f>
        <v>4.5</v>
      </c>
      <c r="S12" s="242"/>
      <c r="T12" s="242"/>
      <c r="U12" s="263">
        <f>$J$12*$P$12*1</f>
        <v>0.79499999999999982</v>
      </c>
      <c r="V12" s="263"/>
      <c r="W12" s="263"/>
      <c r="Y12" s="256" t="s">
        <v>21</v>
      </c>
      <c r="Z12" s="275"/>
      <c r="AA12" s="275"/>
      <c r="AB12" s="275"/>
      <c r="AC12" s="275"/>
      <c r="AD12" s="276"/>
      <c r="AE12" s="256">
        <f>$I$5+$K$8+$J$11</f>
        <v>2.6499999999999995</v>
      </c>
      <c r="AF12" s="258"/>
    </row>
    <row r="13" spans="1:32" x14ac:dyDescent="0.25">
      <c r="A13" s="18" t="s">
        <v>60</v>
      </c>
      <c r="B13" s="18"/>
      <c r="C13" s="33"/>
      <c r="D13" s="251" t="s">
        <v>74</v>
      </c>
      <c r="E13" s="252"/>
      <c r="F13" s="252"/>
      <c r="G13" s="252"/>
      <c r="H13" s="252"/>
      <c r="I13" s="252"/>
      <c r="J13" s="252"/>
      <c r="K13" s="268"/>
      <c r="M13" s="243" t="s">
        <v>21</v>
      </c>
      <c r="N13" s="243"/>
      <c r="O13" s="243"/>
      <c r="P13" s="243"/>
      <c r="Q13" s="243"/>
      <c r="R13" s="243"/>
      <c r="S13" s="243"/>
      <c r="T13" s="243"/>
      <c r="U13" s="262">
        <f>$R$12-$U$12</f>
        <v>3.7050000000000001</v>
      </c>
      <c r="V13" s="243"/>
      <c r="W13" s="243"/>
      <c r="Y13" s="264" t="s">
        <v>74</v>
      </c>
      <c r="Z13" s="265"/>
      <c r="AA13" s="265"/>
      <c r="AB13" s="265"/>
      <c r="AC13" s="265"/>
      <c r="AD13" s="265"/>
      <c r="AE13" s="265"/>
      <c r="AF13" s="265"/>
    </row>
    <row r="14" spans="1:32" x14ac:dyDescent="0.25">
      <c r="A14" s="22" t="s">
        <v>61</v>
      </c>
      <c r="B14" s="22"/>
      <c r="C14" s="33"/>
      <c r="D14" s="269" t="s">
        <v>19</v>
      </c>
      <c r="E14" s="270"/>
      <c r="F14" s="270"/>
      <c r="G14" s="270"/>
      <c r="H14" s="270"/>
      <c r="I14" s="270"/>
      <c r="J14" s="270"/>
      <c r="K14" s="271"/>
      <c r="Y14" s="266" t="s">
        <v>31</v>
      </c>
      <c r="Z14" s="250"/>
      <c r="AA14" s="250"/>
      <c r="AB14" s="250"/>
      <c r="AC14" s="250"/>
      <c r="AD14" s="250"/>
      <c r="AE14" s="250"/>
      <c r="AF14" s="250"/>
    </row>
    <row r="15" spans="1:32" x14ac:dyDescent="0.25">
      <c r="A15" s="32" t="s">
        <v>62</v>
      </c>
      <c r="B15" s="32" t="s">
        <v>63</v>
      </c>
      <c r="C15" s="32" t="s">
        <v>53</v>
      </c>
      <c r="D15" s="259" t="s">
        <v>4</v>
      </c>
      <c r="E15" s="261"/>
      <c r="F15" s="259" t="s">
        <v>17</v>
      </c>
      <c r="G15" s="260"/>
      <c r="H15" s="261"/>
      <c r="I15" s="259" t="s">
        <v>5</v>
      </c>
      <c r="J15" s="260"/>
      <c r="K15" s="261"/>
      <c r="M15" s="272" t="s">
        <v>83</v>
      </c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Y15" s="241" t="s">
        <v>4</v>
      </c>
      <c r="Z15" s="241"/>
      <c r="AA15" s="241" t="s">
        <v>278</v>
      </c>
      <c r="AB15" s="241"/>
      <c r="AC15" s="241"/>
      <c r="AD15" s="241" t="s">
        <v>5</v>
      </c>
      <c r="AE15" s="241"/>
      <c r="AF15" s="241"/>
    </row>
    <row r="16" spans="1:32" x14ac:dyDescent="0.25">
      <c r="A16" s="32">
        <v>0.04</v>
      </c>
      <c r="B16" s="32">
        <v>18</v>
      </c>
      <c r="C16" s="32">
        <f>A16*B16</f>
        <v>0.72</v>
      </c>
      <c r="D16" s="34">
        <v>0.08</v>
      </c>
      <c r="E16" s="31"/>
      <c r="F16" s="25">
        <v>4.57</v>
      </c>
      <c r="G16" s="26"/>
      <c r="H16" s="27"/>
      <c r="I16" s="35">
        <f>$D$16*$F$16*1</f>
        <v>0.36560000000000004</v>
      </c>
      <c r="J16" s="36"/>
      <c r="K16" s="37"/>
      <c r="M16" s="250" t="s">
        <v>18</v>
      </c>
      <c r="N16" s="250"/>
      <c r="O16" s="250"/>
      <c r="P16" s="250" t="s">
        <v>29</v>
      </c>
      <c r="Q16" s="250"/>
      <c r="R16" s="250" t="str">
        <f>P11</f>
        <v>larghezza</v>
      </c>
      <c r="S16" s="250"/>
      <c r="T16" s="250"/>
      <c r="U16" s="250" t="s">
        <v>30</v>
      </c>
      <c r="V16" s="250"/>
      <c r="W16" s="250"/>
      <c r="Y16" s="242">
        <v>0.04</v>
      </c>
      <c r="Z16" s="242"/>
      <c r="AA16" s="242">
        <v>18</v>
      </c>
      <c r="AB16" s="242"/>
      <c r="AC16" s="242"/>
      <c r="AD16" s="263">
        <f>$Y$16*$AA$16*1</f>
        <v>0.72</v>
      </c>
      <c r="AE16" s="263"/>
      <c r="AF16" s="263"/>
    </row>
    <row r="17" spans="1:32" x14ac:dyDescent="0.25">
      <c r="A17" s="18" t="s">
        <v>64</v>
      </c>
      <c r="B17" s="19"/>
      <c r="C17" s="19"/>
      <c r="D17" s="251" t="s">
        <v>20</v>
      </c>
      <c r="E17" s="252"/>
      <c r="F17" s="252"/>
      <c r="G17" s="252"/>
      <c r="H17" s="252"/>
      <c r="I17" s="252"/>
      <c r="J17" s="252"/>
      <c r="K17" s="268"/>
      <c r="M17" s="242">
        <v>25</v>
      </c>
      <c r="N17" s="242"/>
      <c r="O17" s="242"/>
      <c r="P17" s="242">
        <v>0.22</v>
      </c>
      <c r="Q17" s="242"/>
      <c r="R17" s="242">
        <v>0.6</v>
      </c>
      <c r="S17" s="242"/>
      <c r="T17" s="242"/>
      <c r="U17" s="243">
        <f>($M$17*$P$17*$R$17*1)-(J12*R17)</f>
        <v>1.7100000000000002</v>
      </c>
      <c r="V17" s="243"/>
      <c r="W17" s="243"/>
      <c r="Y17" s="264" t="s">
        <v>65</v>
      </c>
      <c r="Z17" s="264"/>
      <c r="AA17" s="264"/>
      <c r="AB17" s="264"/>
      <c r="AC17" s="264"/>
      <c r="AD17" s="264"/>
      <c r="AE17" s="264"/>
      <c r="AF17" s="264"/>
    </row>
    <row r="18" spans="1:32" x14ac:dyDescent="0.25">
      <c r="A18" s="32" t="s">
        <v>62</v>
      </c>
      <c r="B18" s="32" t="s">
        <v>63</v>
      </c>
      <c r="C18" s="32" t="s">
        <v>53</v>
      </c>
      <c r="D18" s="259" t="s">
        <v>4</v>
      </c>
      <c r="E18" s="261"/>
      <c r="F18" s="259" t="s">
        <v>17</v>
      </c>
      <c r="G18" s="260"/>
      <c r="H18" s="261"/>
      <c r="I18" s="259" t="s">
        <v>5</v>
      </c>
      <c r="J18" s="260"/>
      <c r="K18" s="261"/>
      <c r="Y18" s="241" t="s">
        <v>4</v>
      </c>
      <c r="Z18" s="241"/>
      <c r="AA18" s="241" t="s">
        <v>279</v>
      </c>
      <c r="AB18" s="241"/>
      <c r="AC18" s="241"/>
      <c r="AD18" s="241" t="s">
        <v>5</v>
      </c>
      <c r="AE18" s="241"/>
      <c r="AF18" s="241"/>
    </row>
    <row r="19" spans="1:32" x14ac:dyDescent="0.25">
      <c r="A19" s="32">
        <v>0.02</v>
      </c>
      <c r="B19" s="32">
        <v>20</v>
      </c>
      <c r="C19" s="32">
        <f>A19*B19</f>
        <v>0.4</v>
      </c>
      <c r="D19" s="34">
        <v>0.02</v>
      </c>
      <c r="E19" s="31"/>
      <c r="F19" s="25">
        <v>27</v>
      </c>
      <c r="G19" s="26"/>
      <c r="H19" s="27"/>
      <c r="I19" s="25">
        <f>$D$19*$F$19*1*1</f>
        <v>0.54</v>
      </c>
      <c r="J19" s="26"/>
      <c r="K19" s="27"/>
      <c r="M19" s="247" t="s">
        <v>155</v>
      </c>
      <c r="N19" s="248"/>
      <c r="O19" s="248"/>
      <c r="P19" s="248"/>
      <c r="Q19" s="248"/>
      <c r="R19" s="248"/>
      <c r="S19" s="248"/>
      <c r="T19" s="249"/>
      <c r="U19" s="247" t="s">
        <v>156</v>
      </c>
      <c r="V19" s="248"/>
      <c r="W19" s="249"/>
      <c r="Y19" s="242">
        <v>0.02</v>
      </c>
      <c r="Z19" s="242"/>
      <c r="AA19" s="242">
        <v>22</v>
      </c>
      <c r="AB19" s="242"/>
      <c r="AC19" s="242"/>
      <c r="AD19" s="242">
        <f>$Y$19*$AA$19*1*1</f>
        <v>0.44</v>
      </c>
      <c r="AE19" s="242"/>
      <c r="AF19" s="242"/>
    </row>
    <row r="20" spans="1:32" x14ac:dyDescent="0.25">
      <c r="A20" s="32" t="s">
        <v>55</v>
      </c>
      <c r="B20" s="32"/>
      <c r="C20" s="32">
        <f>C16+C19</f>
        <v>1.1200000000000001</v>
      </c>
      <c r="D20" s="251" t="s">
        <v>22</v>
      </c>
      <c r="E20" s="252"/>
      <c r="F20" s="252"/>
      <c r="G20" s="252"/>
      <c r="H20" s="252"/>
      <c r="I20" s="252"/>
      <c r="J20" s="252"/>
      <c r="K20" s="252"/>
      <c r="M20" s="250" t="s">
        <v>18</v>
      </c>
      <c r="N20" s="250"/>
      <c r="O20" s="250"/>
      <c r="P20" s="250" t="s">
        <v>54</v>
      </c>
      <c r="Q20" s="250"/>
      <c r="R20" s="250" t="s">
        <v>10</v>
      </c>
      <c r="S20" s="250"/>
      <c r="T20" s="250"/>
      <c r="U20" s="250" t="s">
        <v>154</v>
      </c>
      <c r="V20" s="250"/>
      <c r="W20" s="250"/>
      <c r="Y20" s="267" t="s">
        <v>22</v>
      </c>
      <c r="Z20" s="267"/>
      <c r="AA20" s="267"/>
      <c r="AB20" s="267"/>
      <c r="AC20" s="267"/>
      <c r="AD20" s="267"/>
      <c r="AE20" s="267"/>
      <c r="AF20" s="267"/>
    </row>
    <row r="21" spans="1:32" x14ac:dyDescent="0.25">
      <c r="D21" s="259" t="s">
        <v>4</v>
      </c>
      <c r="E21" s="261"/>
      <c r="F21" s="259" t="s">
        <v>17</v>
      </c>
      <c r="G21" s="260"/>
      <c r="H21" s="261"/>
      <c r="I21" s="259" t="s">
        <v>5</v>
      </c>
      <c r="J21" s="260"/>
      <c r="K21" s="261"/>
      <c r="M21" s="242">
        <v>25</v>
      </c>
      <c r="N21" s="242"/>
      <c r="O21" s="242"/>
      <c r="P21" s="242">
        <v>0.3</v>
      </c>
      <c r="Q21" s="242"/>
      <c r="R21" s="242">
        <v>0.7</v>
      </c>
      <c r="S21" s="242"/>
      <c r="T21" s="242"/>
      <c r="U21" s="242">
        <f>$M$21*$P$21*$R$21*2.6</f>
        <v>13.65</v>
      </c>
      <c r="V21" s="242"/>
      <c r="W21" s="242"/>
      <c r="Y21" s="241" t="s">
        <v>4</v>
      </c>
      <c r="Z21" s="241"/>
      <c r="AA21" s="241" t="s">
        <v>279</v>
      </c>
      <c r="AB21" s="241"/>
      <c r="AC21" s="241"/>
      <c r="AD21" s="241" t="s">
        <v>5</v>
      </c>
      <c r="AE21" s="241"/>
      <c r="AF21" s="241"/>
    </row>
    <row r="22" spans="1:32" x14ac:dyDescent="0.25">
      <c r="D22" s="34">
        <v>0.02</v>
      </c>
      <c r="E22" s="31"/>
      <c r="F22" s="25">
        <v>20</v>
      </c>
      <c r="G22" s="26"/>
      <c r="H22" s="27"/>
      <c r="I22" s="25">
        <f>$D$22*$F$22</f>
        <v>0.4</v>
      </c>
      <c r="J22" s="26"/>
      <c r="K22" s="27"/>
      <c r="U22" s="247" t="s">
        <v>157</v>
      </c>
      <c r="V22" s="248"/>
      <c r="W22" s="249"/>
      <c r="Y22" s="242">
        <v>0.02</v>
      </c>
      <c r="Z22" s="242"/>
      <c r="AA22" s="242">
        <v>20</v>
      </c>
      <c r="AB22" s="242"/>
      <c r="AC22" s="242"/>
      <c r="AD22" s="242">
        <f>$D$22*$F$22</f>
        <v>0.4</v>
      </c>
      <c r="AE22" s="242"/>
      <c r="AF22" s="242"/>
    </row>
    <row r="23" spans="1:32" x14ac:dyDescent="0.25">
      <c r="D23" s="256" t="s">
        <v>21</v>
      </c>
      <c r="E23" s="257"/>
      <c r="F23" s="257"/>
      <c r="G23" s="257"/>
      <c r="H23" s="258"/>
      <c r="I23" s="38">
        <f>$I$16+$I$19+$I$22</f>
        <v>1.3056000000000001</v>
      </c>
      <c r="J23" s="39"/>
      <c r="K23" s="40"/>
      <c r="P23" s="32" t="s">
        <v>84</v>
      </c>
      <c r="V23">
        <f>M21*P21*R21*3.1</f>
        <v>16.275000000000002</v>
      </c>
      <c r="Y23" s="243" t="s">
        <v>21</v>
      </c>
      <c r="Z23" s="242"/>
      <c r="AA23" s="242"/>
      <c r="AB23" s="242"/>
      <c r="AC23" s="242"/>
      <c r="AD23" s="262">
        <f>$AD$16+$AD$22+AD19</f>
        <v>1.56</v>
      </c>
      <c r="AE23" s="243"/>
      <c r="AF23" s="243"/>
    </row>
    <row r="24" spans="1:32" x14ac:dyDescent="0.25">
      <c r="A24" s="10" t="s">
        <v>49</v>
      </c>
      <c r="B24" s="12"/>
      <c r="C24" s="10">
        <f>D5+H8+D16+D19+D22</f>
        <v>0.34</v>
      </c>
      <c r="M24" s="32" t="s">
        <v>63</v>
      </c>
      <c r="N24" s="32" t="s">
        <v>85</v>
      </c>
      <c r="O24" s="32" t="s">
        <v>29</v>
      </c>
      <c r="P24" s="32" t="str">
        <f>R11</f>
        <v>peso proprio [KN/m]</v>
      </c>
      <c r="Q24" s="32" t="str">
        <f>U11</f>
        <v>peso solaio a detrarre</v>
      </c>
      <c r="R24" s="32" t="s">
        <v>55</v>
      </c>
      <c r="U24" s="247" t="s">
        <v>158</v>
      </c>
      <c r="V24" s="248"/>
      <c r="W24" s="249"/>
    </row>
    <row r="25" spans="1:32" x14ac:dyDescent="0.25">
      <c r="A25" s="10" t="s">
        <v>50</v>
      </c>
      <c r="B25" s="10"/>
      <c r="C25" s="10">
        <v>3.2</v>
      </c>
      <c r="M25" s="32">
        <f>M12</f>
        <v>25</v>
      </c>
      <c r="N25" s="32">
        <f>P12</f>
        <v>0.3</v>
      </c>
      <c r="O25" s="32">
        <v>0.5</v>
      </c>
      <c r="P25" s="32">
        <f>M25*N25*O25</f>
        <v>3.75</v>
      </c>
      <c r="Q25" s="17">
        <f>U12</f>
        <v>0.79499999999999982</v>
      </c>
      <c r="R25" s="17">
        <f>P25-Q25</f>
        <v>2.9550000000000001</v>
      </c>
      <c r="V25">
        <f>M21*P21*R21*2.7</f>
        <v>14.175000000000001</v>
      </c>
      <c r="Y25" s="16" t="s">
        <v>70</v>
      </c>
      <c r="Z25" s="16"/>
    </row>
    <row r="26" spans="1:32" x14ac:dyDescent="0.25">
      <c r="E26" s="244" t="s">
        <v>44</v>
      </c>
      <c r="F26" s="245"/>
      <c r="G26" s="245"/>
      <c r="H26" s="245"/>
      <c r="I26" s="245"/>
      <c r="J26" s="245"/>
      <c r="K26" s="245"/>
      <c r="L26" s="244" t="s">
        <v>45</v>
      </c>
      <c r="M26" s="246"/>
      <c r="N26" s="246"/>
      <c r="Y26" s="11"/>
      <c r="Z26" s="11" t="s">
        <v>53</v>
      </c>
      <c r="AB26" s="11"/>
      <c r="AC26" s="32" t="s">
        <v>77</v>
      </c>
      <c r="AD26" s="32"/>
      <c r="AE26" s="32"/>
    </row>
    <row r="27" spans="1:32" x14ac:dyDescent="0.25">
      <c r="E27" s="147" t="s">
        <v>89</v>
      </c>
      <c r="F27" s="147" t="s">
        <v>100</v>
      </c>
      <c r="G27" s="147" t="s">
        <v>38</v>
      </c>
      <c r="H27" s="147" t="s">
        <v>39</v>
      </c>
      <c r="I27" s="147" t="s">
        <v>40</v>
      </c>
      <c r="J27" s="147" t="s">
        <v>41</v>
      </c>
      <c r="K27" s="147" t="s">
        <v>42</v>
      </c>
      <c r="L27" s="148" t="s">
        <v>43</v>
      </c>
      <c r="M27" s="149" t="s">
        <v>283</v>
      </c>
      <c r="N27" s="149" t="s">
        <v>284</v>
      </c>
      <c r="O27" s="147" t="s">
        <v>90</v>
      </c>
      <c r="P27" s="147" t="s">
        <v>52</v>
      </c>
      <c r="Y27" s="28" t="s">
        <v>69</v>
      </c>
      <c r="Z27" s="32">
        <f>B9</f>
        <v>1</v>
      </c>
      <c r="AB27" s="11"/>
      <c r="AC27" s="116" t="s">
        <v>269</v>
      </c>
      <c r="AD27" s="32"/>
      <c r="AE27" s="32"/>
    </row>
    <row r="28" spans="1:32" x14ac:dyDescent="0.25">
      <c r="A28" s="7" t="s">
        <v>46</v>
      </c>
      <c r="B28" s="15">
        <v>1.3</v>
      </c>
      <c r="D28" s="146" t="s">
        <v>57</v>
      </c>
      <c r="E28" s="150">
        <f>$J$12+$I$23</f>
        <v>3.9555999999999996</v>
      </c>
      <c r="F28" s="51">
        <v>1.2</v>
      </c>
      <c r="G28" s="51">
        <v>2</v>
      </c>
      <c r="H28" s="154">
        <f>$E$28*$B$28</f>
        <v>5.1422799999999995</v>
      </c>
      <c r="I28" s="51">
        <f>$F$28*$B$29</f>
        <v>1.7999999999999998</v>
      </c>
      <c r="J28" s="51">
        <f>$G$28*$B$29</f>
        <v>3</v>
      </c>
      <c r="K28" s="154">
        <f>$H$28+$I$28+$J$28</f>
        <v>9.9422800000000002</v>
      </c>
      <c r="L28" s="51">
        <v>0.3</v>
      </c>
      <c r="M28" s="51">
        <f>$L$28*$G$28</f>
        <v>0.6</v>
      </c>
      <c r="N28" s="154">
        <f>$E$28+$F$28+$M$28</f>
        <v>5.7555999999999994</v>
      </c>
      <c r="O28" s="154">
        <f>E28+F28</f>
        <v>5.1555999999999997</v>
      </c>
      <c r="P28" s="154">
        <f>H28+I28</f>
        <v>6.9422799999999993</v>
      </c>
      <c r="Y28" s="28" t="s">
        <v>68</v>
      </c>
      <c r="Z28" s="32">
        <f>B10</f>
        <v>0.56999999999999995</v>
      </c>
      <c r="AB28" s="32" t="s">
        <v>69</v>
      </c>
      <c r="AC28" s="32">
        <f>I5*1.2</f>
        <v>1.2</v>
      </c>
      <c r="AD28" s="32"/>
      <c r="AE28" t="s">
        <v>274</v>
      </c>
    </row>
    <row r="29" spans="1:32" x14ac:dyDescent="0.25">
      <c r="A29" s="7" t="s">
        <v>47</v>
      </c>
      <c r="B29" s="15">
        <v>1.5</v>
      </c>
      <c r="D29" s="146" t="s">
        <v>34</v>
      </c>
      <c r="E29" s="151">
        <f>U8</f>
        <v>5.7200000000000006</v>
      </c>
      <c r="F29" s="51" t="s">
        <v>48</v>
      </c>
      <c r="G29" s="51" t="s">
        <v>48</v>
      </c>
      <c r="H29" s="154">
        <f>$E$29*$B$28</f>
        <v>7.4360000000000008</v>
      </c>
      <c r="I29" s="51" t="s">
        <v>48</v>
      </c>
      <c r="J29" s="51" t="s">
        <v>48</v>
      </c>
      <c r="K29" s="154">
        <f>$H$29</f>
        <v>7.4360000000000008</v>
      </c>
      <c r="L29" s="51" t="s">
        <v>48</v>
      </c>
      <c r="M29" s="51" t="s">
        <v>48</v>
      </c>
      <c r="N29" s="154">
        <f>$E$29</f>
        <v>5.7200000000000006</v>
      </c>
      <c r="Y29" s="28" t="s">
        <v>67</v>
      </c>
      <c r="Z29" s="32">
        <f>B11</f>
        <v>1.0799999999999998</v>
      </c>
      <c r="AB29" s="32" t="s">
        <v>272</v>
      </c>
      <c r="AC29" s="32">
        <f>J11</f>
        <v>1.0799999999999998</v>
      </c>
      <c r="AD29" s="32"/>
    </row>
    <row r="30" spans="1:32" x14ac:dyDescent="0.25">
      <c r="D30" s="146" t="s">
        <v>86</v>
      </c>
      <c r="E30" s="150">
        <f>$U$13</f>
        <v>3.7050000000000001</v>
      </c>
      <c r="F30" s="51" t="s">
        <v>48</v>
      </c>
      <c r="G30" s="51" t="s">
        <v>48</v>
      </c>
      <c r="H30" s="156">
        <f>$E$30*$B$28</f>
        <v>4.8165000000000004</v>
      </c>
      <c r="I30" s="51" t="s">
        <v>48</v>
      </c>
      <c r="J30" s="51" t="s">
        <v>48</v>
      </c>
      <c r="K30" s="154">
        <f>$H$30</f>
        <v>4.8165000000000004</v>
      </c>
      <c r="L30" s="51" t="s">
        <v>48</v>
      </c>
      <c r="M30" s="51" t="s">
        <v>48</v>
      </c>
      <c r="N30" s="154">
        <f>$E$30</f>
        <v>3.7050000000000001</v>
      </c>
      <c r="Y30" s="28" t="s">
        <v>55</v>
      </c>
      <c r="Z30" s="32">
        <f>B12</f>
        <v>2.6499999999999995</v>
      </c>
      <c r="AB30" s="32" t="s">
        <v>273</v>
      </c>
      <c r="AC30" s="17">
        <f>K8</f>
        <v>0.56999999999999995</v>
      </c>
      <c r="AD30" s="32"/>
      <c r="AE30" s="17"/>
    </row>
    <row r="31" spans="1:32" x14ac:dyDescent="0.25">
      <c r="D31" s="146" t="s">
        <v>35</v>
      </c>
      <c r="E31" s="151">
        <f>$U$17</f>
        <v>1.7100000000000002</v>
      </c>
      <c r="F31" s="51" t="s">
        <v>48</v>
      </c>
      <c r="G31" s="51" t="s">
        <v>48</v>
      </c>
      <c r="H31" s="156">
        <f>$E$31*$B$28</f>
        <v>2.2230000000000003</v>
      </c>
      <c r="I31" s="51" t="s">
        <v>48</v>
      </c>
      <c r="J31" s="51" t="s">
        <v>48</v>
      </c>
      <c r="K31" s="154">
        <f>$H$31</f>
        <v>2.2230000000000003</v>
      </c>
      <c r="L31" s="51" t="s">
        <v>48</v>
      </c>
      <c r="M31" s="51" t="s">
        <v>48</v>
      </c>
      <c r="N31" s="154">
        <f>$E$31</f>
        <v>1.7100000000000002</v>
      </c>
      <c r="Y31" s="41" t="s">
        <v>71</v>
      </c>
      <c r="Z31" s="11"/>
      <c r="AB31" s="32" t="s">
        <v>55</v>
      </c>
      <c r="AC31" s="32">
        <f>((SUM(AC28:AC30))/1.2)*0.88</f>
        <v>2.09</v>
      </c>
      <c r="AD31" s="32"/>
      <c r="AE31" s="32"/>
    </row>
    <row r="32" spans="1:32" x14ac:dyDescent="0.25">
      <c r="D32" s="146" t="s">
        <v>427</v>
      </c>
      <c r="E32" s="150">
        <f>$AE$12+$AD$23</f>
        <v>4.2099999999999991</v>
      </c>
      <c r="F32" s="5" t="s">
        <v>48</v>
      </c>
      <c r="G32" s="5">
        <v>4</v>
      </c>
      <c r="H32" s="156">
        <f>$E$32*$B$28</f>
        <v>5.472999999999999</v>
      </c>
      <c r="I32" s="5" t="s">
        <v>48</v>
      </c>
      <c r="J32" s="5">
        <f>$G$32*$B$29</f>
        <v>6</v>
      </c>
      <c r="K32" s="154">
        <f>$H$32+$J$32</f>
        <v>11.472999999999999</v>
      </c>
      <c r="L32" s="5">
        <v>0.6</v>
      </c>
      <c r="M32" s="5">
        <f>$L$32*$G$32</f>
        <v>2.4</v>
      </c>
      <c r="N32" s="154">
        <f>$M$32+$E$32</f>
        <v>6.6099999999999994</v>
      </c>
      <c r="Y32" s="42" t="s">
        <v>61</v>
      </c>
      <c r="Z32" s="17">
        <f>AD16</f>
        <v>0.72</v>
      </c>
      <c r="AB32" s="32"/>
      <c r="AC32" s="32" t="s">
        <v>270</v>
      </c>
      <c r="AD32" s="32"/>
      <c r="AE32" s="32"/>
    </row>
    <row r="33" spans="4:33" x14ac:dyDescent="0.25">
      <c r="D33" s="146" t="s">
        <v>36</v>
      </c>
      <c r="E33" s="150">
        <f>AC31+AG44</f>
        <v>5.2913333333333332</v>
      </c>
      <c r="F33" s="51" t="s">
        <v>48</v>
      </c>
      <c r="G33" s="51">
        <v>4</v>
      </c>
      <c r="H33" s="154">
        <f>$E$33*$B$28</f>
        <v>6.8787333333333338</v>
      </c>
      <c r="I33" s="51" t="s">
        <v>48</v>
      </c>
      <c r="J33" s="51">
        <f>$G$33*$B$29</f>
        <v>6</v>
      </c>
      <c r="K33" s="154">
        <f>$H$33+$J$33</f>
        <v>12.878733333333333</v>
      </c>
      <c r="L33" s="51">
        <v>0.6</v>
      </c>
      <c r="M33" s="51">
        <f>$G$33*$L$33</f>
        <v>2.4</v>
      </c>
      <c r="N33" s="154">
        <f>$M$33+$E$33</f>
        <v>7.6913333333333327</v>
      </c>
      <c r="Y33" s="42" t="s">
        <v>72</v>
      </c>
      <c r="Z33" s="32">
        <f>AD19</f>
        <v>0.44</v>
      </c>
      <c r="AB33" s="11"/>
      <c r="AC33" s="32"/>
    </row>
    <row r="34" spans="4:33" x14ac:dyDescent="0.25">
      <c r="D34" s="146" t="s">
        <v>159</v>
      </c>
      <c r="E34" s="151">
        <f>$U$21</f>
        <v>13.65</v>
      </c>
      <c r="F34" s="5" t="s">
        <v>48</v>
      </c>
      <c r="G34" s="5" t="s">
        <v>48</v>
      </c>
      <c r="H34" s="156">
        <f>$E$34*$B$28</f>
        <v>17.745000000000001</v>
      </c>
      <c r="I34" s="5" t="s">
        <v>48</v>
      </c>
      <c r="J34" s="5" t="s">
        <v>48</v>
      </c>
      <c r="K34" s="154">
        <f>$H$34</f>
        <v>17.745000000000001</v>
      </c>
      <c r="L34" s="5" t="s">
        <v>48</v>
      </c>
      <c r="M34" s="5" t="s">
        <v>48</v>
      </c>
      <c r="N34" s="154">
        <f>$E$34</f>
        <v>13.65</v>
      </c>
      <c r="Y34" s="42" t="s">
        <v>73</v>
      </c>
      <c r="Z34" s="32">
        <f>AD22</f>
        <v>0.4</v>
      </c>
      <c r="AC34" s="32" t="s">
        <v>4</v>
      </c>
      <c r="AD34" s="32" t="s">
        <v>275</v>
      </c>
      <c r="AE34" s="32" t="s">
        <v>26</v>
      </c>
      <c r="AG34" s="32" t="s">
        <v>5</v>
      </c>
    </row>
    <row r="35" spans="4:33" x14ac:dyDescent="0.25">
      <c r="D35" s="146" t="s">
        <v>58</v>
      </c>
      <c r="E35" s="152">
        <f>$Z$30+$Z$35</f>
        <v>4.2099999999999991</v>
      </c>
      <c r="F35" s="51" t="s">
        <v>48</v>
      </c>
      <c r="G35" s="52">
        <f>$G$28</f>
        <v>2</v>
      </c>
      <c r="H35" s="152">
        <f>$E$35*$B$28</f>
        <v>5.472999999999999</v>
      </c>
      <c r="I35" s="51" t="s">
        <v>48</v>
      </c>
      <c r="J35" s="52">
        <f>$G$35*$B$29</f>
        <v>3</v>
      </c>
      <c r="K35" s="152">
        <f>$H$35+$J$35</f>
        <v>8.472999999999999</v>
      </c>
      <c r="L35" s="52">
        <f>$L$28</f>
        <v>0.3</v>
      </c>
      <c r="M35" s="52">
        <f>$L$35*$G$35</f>
        <v>0.6</v>
      </c>
      <c r="N35" s="152">
        <f>$E$35+$M$35</f>
        <v>4.8099999999999987</v>
      </c>
      <c r="Y35" s="42" t="s">
        <v>55</v>
      </c>
      <c r="Z35" s="17">
        <f>SUM(Z32:Z34)</f>
        <v>1.56</v>
      </c>
      <c r="AB35" s="32" t="s">
        <v>64</v>
      </c>
      <c r="AC35" s="32">
        <v>0.02</v>
      </c>
      <c r="AD35" s="32">
        <v>0.34</v>
      </c>
      <c r="AE35" s="17">
        <f>AA22</f>
        <v>20</v>
      </c>
      <c r="AG35" s="97">
        <f>(AC35*AD35*AE35)/0.3</f>
        <v>0.45333333333333337</v>
      </c>
    </row>
    <row r="36" spans="4:33" x14ac:dyDescent="0.25">
      <c r="D36" s="146" t="s">
        <v>59</v>
      </c>
      <c r="E36" s="153">
        <f>$B$12+$C$20</f>
        <v>3.7699999999999996</v>
      </c>
      <c r="F36" s="13"/>
      <c r="G36" s="13">
        <f>0.5</f>
        <v>0.5</v>
      </c>
      <c r="H36" s="157">
        <f>$E$36*$B$28</f>
        <v>4.9009999999999998</v>
      </c>
      <c r="I36" s="14" t="s">
        <v>48</v>
      </c>
      <c r="J36" s="13">
        <f>$G$36*$B$29</f>
        <v>0.75</v>
      </c>
      <c r="K36" s="152">
        <f>$H$36+$J$36</f>
        <v>5.6509999999999998</v>
      </c>
      <c r="L36" s="13">
        <v>0</v>
      </c>
      <c r="M36" s="13">
        <f>L36*G36</f>
        <v>0</v>
      </c>
      <c r="N36" s="153">
        <f>$E$36</f>
        <v>3.7699999999999996</v>
      </c>
      <c r="AB36" s="32"/>
      <c r="AC36" s="32"/>
      <c r="AD36" s="32"/>
      <c r="AE36" s="17"/>
    </row>
    <row r="37" spans="4:33" x14ac:dyDescent="0.25">
      <c r="D37" s="146" t="s">
        <v>87</v>
      </c>
      <c r="E37" s="154">
        <f>R25</f>
        <v>2.9550000000000001</v>
      </c>
      <c r="F37" s="51" t="str">
        <f>F30</f>
        <v>/</v>
      </c>
      <c r="G37" s="51" t="str">
        <f>G30</f>
        <v>/</v>
      </c>
      <c r="H37" s="156">
        <f>E37*$B$28</f>
        <v>3.8415000000000004</v>
      </c>
      <c r="I37" s="51" t="s">
        <v>48</v>
      </c>
      <c r="J37" s="51" t="str">
        <f>J30</f>
        <v>/</v>
      </c>
      <c r="K37" s="156">
        <f>H37</f>
        <v>3.8415000000000004</v>
      </c>
      <c r="L37" s="51" t="s">
        <v>48</v>
      </c>
      <c r="M37" s="51" t="s">
        <v>48</v>
      </c>
      <c r="N37" s="154">
        <f>E37</f>
        <v>2.9550000000000001</v>
      </c>
      <c r="U37" s="84" t="s">
        <v>174</v>
      </c>
      <c r="AC37" s="32" t="s">
        <v>276</v>
      </c>
      <c r="AD37" s="32" t="s">
        <v>277</v>
      </c>
      <c r="AE37" s="32" t="s">
        <v>62</v>
      </c>
      <c r="AF37" s="32" t="s">
        <v>26</v>
      </c>
      <c r="AG37" s="32" t="s">
        <v>5</v>
      </c>
    </row>
    <row r="38" spans="4:33" x14ac:dyDescent="0.25">
      <c r="D38" s="146" t="s">
        <v>183</v>
      </c>
      <c r="E38" s="155">
        <v>3.9</v>
      </c>
      <c r="F38" s="51"/>
      <c r="G38" s="51">
        <v>0.5</v>
      </c>
      <c r="H38" s="155">
        <f>E38*B28</f>
        <v>5.07</v>
      </c>
      <c r="I38" s="51"/>
      <c r="J38" s="51">
        <f>G38*B29</f>
        <v>0.75</v>
      </c>
      <c r="K38" s="155">
        <f>H38+J38</f>
        <v>5.82</v>
      </c>
      <c r="L38" s="51">
        <v>0</v>
      </c>
      <c r="M38" s="51">
        <f>G38*L38</f>
        <v>0</v>
      </c>
      <c r="N38" s="155">
        <f>E38+M38</f>
        <v>3.9</v>
      </c>
      <c r="U38" s="81" t="s">
        <v>18</v>
      </c>
      <c r="V38" s="82" t="s">
        <v>54</v>
      </c>
      <c r="W38" s="83" t="s">
        <v>10</v>
      </c>
      <c r="X38" s="83" t="s">
        <v>53</v>
      </c>
      <c r="AB38" s="32" t="s">
        <v>61</v>
      </c>
      <c r="AC38" s="32">
        <v>0.16</v>
      </c>
      <c r="AD38" s="32">
        <v>0.3</v>
      </c>
      <c r="AE38" s="32">
        <v>0.03</v>
      </c>
      <c r="AF38" s="17">
        <f>AA16</f>
        <v>18</v>
      </c>
      <c r="AG38" s="97">
        <f>((AC38+AD38)*AE38*AF38)/0.3</f>
        <v>0.82799999999999985</v>
      </c>
    </row>
    <row r="39" spans="4:33" x14ac:dyDescent="0.25">
      <c r="D39" s="146" t="s">
        <v>160</v>
      </c>
      <c r="E39" s="155">
        <f>V23</f>
        <v>16.275000000000002</v>
      </c>
      <c r="F39" s="32"/>
      <c r="G39" s="32"/>
      <c r="H39" s="155">
        <f>E39*B28</f>
        <v>21.157500000000002</v>
      </c>
      <c r="I39" s="32"/>
      <c r="J39" s="32"/>
      <c r="K39" s="155">
        <f t="shared" ref="K39:K44" si="0">H39</f>
        <v>21.157500000000002</v>
      </c>
      <c r="L39" s="32"/>
      <c r="M39" s="32"/>
      <c r="N39" s="155">
        <f t="shared" ref="N39:N44" si="1">E39</f>
        <v>16.275000000000002</v>
      </c>
      <c r="U39" s="32">
        <f>$M$21</f>
        <v>25</v>
      </c>
      <c r="V39" s="32">
        <f>$P$21</f>
        <v>0.3</v>
      </c>
      <c r="W39" s="32">
        <v>0.3</v>
      </c>
      <c r="X39" s="32">
        <f>U39*V39*W39*2.6</f>
        <v>5.8500000000000005</v>
      </c>
      <c r="Y39" s="32" t="s">
        <v>175</v>
      </c>
      <c r="AB39" s="11"/>
      <c r="AC39" s="11"/>
      <c r="AD39" s="11"/>
      <c r="AE39" s="17"/>
    </row>
    <row r="40" spans="4:33" x14ac:dyDescent="0.25">
      <c r="D40" s="146" t="s">
        <v>161</v>
      </c>
      <c r="E40" s="155">
        <f>V25</f>
        <v>14.175000000000001</v>
      </c>
      <c r="F40" s="32"/>
      <c r="G40" s="32"/>
      <c r="H40" s="155">
        <f>E40*B28</f>
        <v>18.427500000000002</v>
      </c>
      <c r="I40" s="32"/>
      <c r="J40" s="32"/>
      <c r="K40" s="155">
        <f t="shared" si="0"/>
        <v>18.427500000000002</v>
      </c>
      <c r="L40" s="32"/>
      <c r="M40" s="32"/>
      <c r="N40" s="155">
        <f t="shared" si="1"/>
        <v>14.175000000000001</v>
      </c>
      <c r="U40" s="32">
        <f>$M$21</f>
        <v>25</v>
      </c>
      <c r="V40" s="32">
        <f>$P$21</f>
        <v>0.3</v>
      </c>
      <c r="W40" s="32">
        <v>0.3</v>
      </c>
      <c r="X40" s="32">
        <f>U40*V40*W40*3.1</f>
        <v>6.9750000000000005</v>
      </c>
      <c r="Y40" s="32" t="s">
        <v>176</v>
      </c>
      <c r="AC40" s="117" t="s">
        <v>276</v>
      </c>
      <c r="AD40" s="117" t="s">
        <v>277</v>
      </c>
      <c r="AE40" s="117" t="s">
        <v>62</v>
      </c>
      <c r="AF40" s="32" t="s">
        <v>26</v>
      </c>
      <c r="AG40" s="32" t="s">
        <v>5</v>
      </c>
    </row>
    <row r="41" spans="4:33" x14ac:dyDescent="0.25">
      <c r="D41" s="146" t="s">
        <v>179</v>
      </c>
      <c r="E41" s="155">
        <f>X40</f>
        <v>6.9750000000000005</v>
      </c>
      <c r="F41" s="32"/>
      <c r="G41" s="32"/>
      <c r="H41" s="155">
        <f>E41*B28</f>
        <v>9.0675000000000008</v>
      </c>
      <c r="I41" s="32"/>
      <c r="J41" s="32"/>
      <c r="K41" s="155">
        <f t="shared" si="0"/>
        <v>9.0675000000000008</v>
      </c>
      <c r="L41" s="32"/>
      <c r="M41" s="32"/>
      <c r="N41" s="155">
        <f t="shared" si="1"/>
        <v>6.9750000000000005</v>
      </c>
      <c r="U41" s="32">
        <f>$M$21</f>
        <v>25</v>
      </c>
      <c r="V41" s="32">
        <f>$P$21</f>
        <v>0.3</v>
      </c>
      <c r="W41" s="32">
        <v>0.3</v>
      </c>
      <c r="X41" s="32">
        <f>U41*V41*W41*2.7</f>
        <v>6.0750000000000002</v>
      </c>
      <c r="Y41" s="32" t="s">
        <v>177</v>
      </c>
      <c r="AB41" s="32" t="s">
        <v>280</v>
      </c>
      <c r="AC41" s="32">
        <v>0.35</v>
      </c>
      <c r="AD41" s="32">
        <v>0.13</v>
      </c>
      <c r="AE41" s="32">
        <v>0.03</v>
      </c>
      <c r="AF41" s="32">
        <v>27</v>
      </c>
      <c r="AG41" s="97">
        <f>((AC41+AD41)*AE41*AF41)/0.3</f>
        <v>1.296</v>
      </c>
    </row>
    <row r="42" spans="4:33" x14ac:dyDescent="0.25">
      <c r="D42" s="146" t="s">
        <v>180</v>
      </c>
      <c r="E42" s="155">
        <f>X39</f>
        <v>5.8500000000000005</v>
      </c>
      <c r="F42" s="32"/>
      <c r="G42" s="32"/>
      <c r="H42" s="155">
        <f>E42*B28</f>
        <v>7.6050000000000013</v>
      </c>
      <c r="I42" s="32"/>
      <c r="J42" s="32"/>
      <c r="K42" s="155">
        <f t="shared" si="0"/>
        <v>7.6050000000000013</v>
      </c>
      <c r="L42" s="32"/>
      <c r="M42" s="32"/>
      <c r="N42" s="155">
        <f t="shared" si="1"/>
        <v>5.8500000000000005</v>
      </c>
      <c r="AC42" s="117" t="s">
        <v>276</v>
      </c>
      <c r="AD42" s="117" t="s">
        <v>277</v>
      </c>
      <c r="AE42" s="32" t="s">
        <v>26</v>
      </c>
      <c r="AG42" s="32" t="s">
        <v>5</v>
      </c>
    </row>
    <row r="43" spans="4:33" x14ac:dyDescent="0.25">
      <c r="D43" s="146" t="s">
        <v>181</v>
      </c>
      <c r="E43" s="155">
        <f>X41</f>
        <v>6.0750000000000002</v>
      </c>
      <c r="F43" s="32"/>
      <c r="G43" s="32"/>
      <c r="H43" s="155">
        <f>E43*B28</f>
        <v>7.8975000000000009</v>
      </c>
      <c r="I43" s="32"/>
      <c r="J43" s="32"/>
      <c r="K43" s="155">
        <f t="shared" si="0"/>
        <v>7.8975000000000009</v>
      </c>
      <c r="L43" s="32"/>
      <c r="M43" s="32"/>
      <c r="N43" s="155">
        <f t="shared" si="1"/>
        <v>6.0750000000000002</v>
      </c>
      <c r="AB43" t="s">
        <v>271</v>
      </c>
      <c r="AC43" s="32">
        <v>0.16</v>
      </c>
      <c r="AD43" s="32">
        <v>0.3</v>
      </c>
      <c r="AE43" s="32">
        <v>24</v>
      </c>
      <c r="AG43" s="97">
        <f>(AC43*AD43/2)*AE43/0.3</f>
        <v>1.9200000000000004</v>
      </c>
    </row>
    <row r="44" spans="4:33" x14ac:dyDescent="0.25">
      <c r="D44" s="146" t="s">
        <v>182</v>
      </c>
      <c r="E44" s="155">
        <f>AE53</f>
        <v>2.5167999999999999</v>
      </c>
      <c r="F44" s="32"/>
      <c r="G44" s="32"/>
      <c r="H44" s="155">
        <f>E44*B28</f>
        <v>3.2718400000000001</v>
      </c>
      <c r="I44" s="32"/>
      <c r="J44" s="32"/>
      <c r="K44" s="155">
        <f t="shared" si="0"/>
        <v>3.2718400000000001</v>
      </c>
      <c r="L44" s="32"/>
      <c r="M44" s="32"/>
      <c r="N44" s="158">
        <f t="shared" si="1"/>
        <v>2.5167999999999999</v>
      </c>
      <c r="AF44" t="s">
        <v>55</v>
      </c>
      <c r="AG44">
        <f>AG35+AG38+AG43</f>
        <v>3.2013333333333334</v>
      </c>
    </row>
    <row r="45" spans="4:33" x14ac:dyDescent="0.25">
      <c r="K45" s="79"/>
      <c r="L45" s="79"/>
    </row>
    <row r="46" spans="4:33" x14ac:dyDescent="0.25">
      <c r="K46" s="79"/>
      <c r="L46" s="79"/>
      <c r="AB46" s="253" t="s">
        <v>337</v>
      </c>
      <c r="AC46" s="254"/>
      <c r="AD46" s="254"/>
      <c r="AE46" s="255"/>
    </row>
    <row r="47" spans="4:33" x14ac:dyDescent="0.25">
      <c r="D47" s="32" t="s">
        <v>93</v>
      </c>
      <c r="E47" s="11"/>
      <c r="F47" s="32" t="s">
        <v>172</v>
      </c>
      <c r="G47" s="11"/>
      <c r="H47" s="160"/>
      <c r="I47" s="32" t="str">
        <f>D47</f>
        <v>impalcato</v>
      </c>
      <c r="J47" s="11"/>
      <c r="K47" s="32"/>
      <c r="L47" s="32" t="str">
        <f>F47</f>
        <v>masse di impalcato</v>
      </c>
      <c r="M47" s="11"/>
      <c r="N47" s="32" t="str">
        <f>I47</f>
        <v>impalcato</v>
      </c>
      <c r="O47" s="11"/>
      <c r="P47" s="32" t="str">
        <f>L47</f>
        <v>masse di impalcato</v>
      </c>
      <c r="Q47" s="11"/>
      <c r="R47" s="32" t="s">
        <v>93</v>
      </c>
      <c r="S47" s="32"/>
      <c r="T47" s="32" t="s">
        <v>199</v>
      </c>
      <c r="U47" s="11"/>
      <c r="AB47" s="28" t="s">
        <v>338</v>
      </c>
      <c r="AC47" s="32"/>
      <c r="AD47" s="32"/>
      <c r="AE47" s="32"/>
    </row>
    <row r="48" spans="4:33" x14ac:dyDescent="0.25">
      <c r="D48" s="32">
        <v>6</v>
      </c>
      <c r="E48" s="32"/>
      <c r="F48" s="32"/>
      <c r="G48" s="11"/>
      <c r="H48" s="160"/>
      <c r="I48" s="32">
        <v>5</v>
      </c>
      <c r="J48" s="32"/>
      <c r="K48" s="32"/>
      <c r="L48" s="11"/>
      <c r="M48" s="11"/>
      <c r="N48" s="161" t="s">
        <v>96</v>
      </c>
      <c r="O48" s="32"/>
      <c r="P48" s="11"/>
      <c r="Q48" s="11"/>
      <c r="R48" s="161" t="s">
        <v>198</v>
      </c>
      <c r="S48" s="32"/>
      <c r="T48" s="32"/>
      <c r="U48" s="11"/>
      <c r="AB48" s="32" t="str">
        <f>O3</f>
        <v>spessore [m]</v>
      </c>
      <c r="AC48" s="32" t="str">
        <f>S2</f>
        <v>peso specifico[KN/m3]</v>
      </c>
      <c r="AD48" s="32" t="s">
        <v>29</v>
      </c>
      <c r="AE48" s="32" t="s">
        <v>53</v>
      </c>
    </row>
    <row r="49" spans="4:31" x14ac:dyDescent="0.25">
      <c r="D49" s="32" t="s">
        <v>56</v>
      </c>
      <c r="E49" s="32">
        <f>'[1]masse e forze'!$B$5</f>
        <v>312.8</v>
      </c>
      <c r="F49" s="32" t="s">
        <v>193</v>
      </c>
      <c r="G49" s="159">
        <f>E49*N35</f>
        <v>1504.5679999999998</v>
      </c>
      <c r="H49" s="160" t="s">
        <v>178</v>
      </c>
      <c r="I49" s="32" t="s">
        <v>56</v>
      </c>
      <c r="J49" s="159">
        <f>E49</f>
        <v>312.8</v>
      </c>
      <c r="K49" s="32" t="s">
        <v>193</v>
      </c>
      <c r="L49" s="159">
        <f>J49*(E28+M28)</f>
        <v>1424.9916799999999</v>
      </c>
      <c r="M49" s="11" t="s">
        <v>178</v>
      </c>
      <c r="N49" s="32" t="s">
        <v>56</v>
      </c>
      <c r="O49" s="162">
        <f>J49</f>
        <v>312.8</v>
      </c>
      <c r="P49" s="159">
        <f>L49</f>
        <v>1424.9916799999999</v>
      </c>
      <c r="Q49" s="11" t="s">
        <v>178</v>
      </c>
      <c r="R49" s="32" t="str">
        <f>N49</f>
        <v>solaio</v>
      </c>
      <c r="S49" s="32">
        <f t="shared" ref="S49:T49" si="2">O49</f>
        <v>312.8</v>
      </c>
      <c r="T49" s="32">
        <f t="shared" si="2"/>
        <v>1424.9916799999999</v>
      </c>
      <c r="U49" s="159" t="str">
        <f>Q49</f>
        <v>KN</v>
      </c>
      <c r="AB49" s="32">
        <f>O4</f>
        <v>0.08</v>
      </c>
      <c r="AC49" s="32">
        <f>S4</f>
        <v>6</v>
      </c>
      <c r="AD49" s="32">
        <v>2.86</v>
      </c>
      <c r="AE49" s="32">
        <f>AB49*AC49*AD49</f>
        <v>1.3727999999999998</v>
      </c>
    </row>
    <row r="50" spans="4:31" x14ac:dyDescent="0.25">
      <c r="D50" s="32" t="s">
        <v>339</v>
      </c>
      <c r="E50" s="32">
        <f>J50</f>
        <v>35.1</v>
      </c>
      <c r="F50" s="32" t="s">
        <v>193</v>
      </c>
      <c r="G50" s="159">
        <f>L50</f>
        <v>232.011</v>
      </c>
      <c r="H50" s="160"/>
      <c r="I50" s="32" t="str">
        <f>D50</f>
        <v>terrazzino</v>
      </c>
      <c r="J50" s="32">
        <v>35.1</v>
      </c>
      <c r="K50" s="32" t="s">
        <v>193</v>
      </c>
      <c r="L50" s="159">
        <f>J50*N32</f>
        <v>232.011</v>
      </c>
      <c r="M50" s="11" t="s">
        <v>178</v>
      </c>
      <c r="N50" s="32" t="str">
        <f>I50</f>
        <v>terrazzino</v>
      </c>
      <c r="O50" s="162">
        <f t="shared" ref="O50:O61" si="3">J50</f>
        <v>35.1</v>
      </c>
      <c r="P50" s="159">
        <f>L50</f>
        <v>232.011</v>
      </c>
      <c r="Q50" s="11" t="s">
        <v>178</v>
      </c>
      <c r="R50" s="32" t="str">
        <f>N51</f>
        <v>scala</v>
      </c>
      <c r="S50" s="32">
        <f t="shared" ref="S50:T50" si="4">O51</f>
        <v>22.2</v>
      </c>
      <c r="T50" s="32">
        <f t="shared" si="4"/>
        <v>170.74759999999998</v>
      </c>
      <c r="U50" s="159" t="str">
        <f t="shared" ref="U50:U58" si="5">Q50</f>
        <v>KN</v>
      </c>
      <c r="AB50" s="167" t="s">
        <v>22</v>
      </c>
      <c r="AC50" s="167"/>
      <c r="AD50" s="167"/>
      <c r="AE50" s="167"/>
    </row>
    <row r="51" spans="4:31" x14ac:dyDescent="0.25">
      <c r="D51" s="32" t="s">
        <v>184</v>
      </c>
      <c r="E51" s="32">
        <f>'[1]masse e forze'!$B$3-'[1]masse e forze'!$B$4</f>
        <v>33.25</v>
      </c>
      <c r="F51" s="32" t="s">
        <v>193</v>
      </c>
      <c r="G51" s="159">
        <f>E51*N38</f>
        <v>129.67499999999998</v>
      </c>
      <c r="H51" s="160" t="s">
        <v>178</v>
      </c>
      <c r="I51" s="32" t="s">
        <v>77</v>
      </c>
      <c r="J51" s="32">
        <f>E52</f>
        <v>22.2</v>
      </c>
      <c r="K51" s="32" t="s">
        <v>193</v>
      </c>
      <c r="L51" s="159">
        <f>J51*N33</f>
        <v>170.74759999999998</v>
      </c>
      <c r="M51" s="11" t="s">
        <v>178</v>
      </c>
      <c r="N51" s="32" t="s">
        <v>77</v>
      </c>
      <c r="O51" s="162">
        <f t="shared" si="3"/>
        <v>22.2</v>
      </c>
      <c r="P51" s="159">
        <f>L51</f>
        <v>170.74759999999998</v>
      </c>
      <c r="Q51" s="11" t="s">
        <v>178</v>
      </c>
      <c r="R51" s="32" t="s">
        <v>197</v>
      </c>
      <c r="S51" s="32">
        <f t="shared" ref="S51:S58" si="6">O52</f>
        <v>114.52</v>
      </c>
      <c r="T51" s="159">
        <f>S51*N30</f>
        <v>424.29660000000001</v>
      </c>
      <c r="U51" s="159" t="str">
        <f t="shared" si="5"/>
        <v>KN</v>
      </c>
      <c r="AB51" s="168" t="s">
        <v>28</v>
      </c>
      <c r="AC51" s="168" t="s">
        <v>29</v>
      </c>
      <c r="AD51" s="172" t="s">
        <v>26</v>
      </c>
      <c r="AE51" s="173" t="s">
        <v>30</v>
      </c>
    </row>
    <row r="52" spans="4:31" x14ac:dyDescent="0.25">
      <c r="D52" s="32" t="s">
        <v>77</v>
      </c>
      <c r="E52" s="32">
        <v>22.2</v>
      </c>
      <c r="F52" s="32" t="s">
        <v>193</v>
      </c>
      <c r="G52" s="159">
        <f>E52*N33</f>
        <v>170.74759999999998</v>
      </c>
      <c r="H52" s="160" t="s">
        <v>178</v>
      </c>
      <c r="I52" s="32" t="s">
        <v>185</v>
      </c>
      <c r="J52" s="32">
        <f>E53</f>
        <v>114.52</v>
      </c>
      <c r="K52" s="32" t="s">
        <v>193</v>
      </c>
      <c r="L52" s="159">
        <f>J52*N37</f>
        <v>338.40659999999997</v>
      </c>
      <c r="M52" s="11" t="s">
        <v>178</v>
      </c>
      <c r="N52" s="32" t="s">
        <v>197</v>
      </c>
      <c r="O52" s="162">
        <f t="shared" si="3"/>
        <v>114.52</v>
      </c>
      <c r="P52" s="159">
        <f>O52*N30</f>
        <v>424.29660000000001</v>
      </c>
      <c r="Q52" s="11" t="s">
        <v>178</v>
      </c>
      <c r="R52" s="32" t="s">
        <v>186</v>
      </c>
      <c r="S52" s="32">
        <f t="shared" si="6"/>
        <v>38.299999999999997</v>
      </c>
      <c r="T52" s="159">
        <f>S52*N31</f>
        <v>65.493000000000009</v>
      </c>
      <c r="U52" s="159" t="str">
        <f t="shared" si="5"/>
        <v>KN</v>
      </c>
      <c r="AB52" s="11">
        <v>0.02</v>
      </c>
      <c r="AC52" s="11">
        <f>O7</f>
        <v>2.8600000000000003</v>
      </c>
      <c r="AD52" s="11">
        <f>Q7</f>
        <v>20</v>
      </c>
      <c r="AE52" s="11">
        <f>AB52*AC52*AD52</f>
        <v>1.1440000000000001</v>
      </c>
    </row>
    <row r="53" spans="4:31" x14ac:dyDescent="0.25">
      <c r="D53" s="32" t="s">
        <v>185</v>
      </c>
      <c r="E53" s="32">
        <v>114.52</v>
      </c>
      <c r="F53" s="32" t="s">
        <v>194</v>
      </c>
      <c r="G53" s="159">
        <f>E53*N37</f>
        <v>338.40659999999997</v>
      </c>
      <c r="H53" s="160" t="s">
        <v>178</v>
      </c>
      <c r="I53" s="32" t="s">
        <v>186</v>
      </c>
      <c r="J53" s="32">
        <f>E54</f>
        <v>38.299999999999997</v>
      </c>
      <c r="K53" s="32" t="s">
        <v>194</v>
      </c>
      <c r="L53" s="159">
        <f>J53*N31</f>
        <v>65.493000000000009</v>
      </c>
      <c r="M53" s="11" t="s">
        <v>178</v>
      </c>
      <c r="N53" s="32" t="s">
        <v>186</v>
      </c>
      <c r="O53" s="162">
        <f t="shared" si="3"/>
        <v>38.299999999999997</v>
      </c>
      <c r="P53" s="159">
        <f>L53</f>
        <v>65.493000000000009</v>
      </c>
      <c r="Q53" s="11" t="s">
        <v>178</v>
      </c>
      <c r="R53" s="32" t="s">
        <v>187</v>
      </c>
      <c r="S53" s="32">
        <f t="shared" ref="S53:T56" si="7">O54</f>
        <v>98.89</v>
      </c>
      <c r="T53" s="32">
        <f t="shared" si="7"/>
        <v>254.54286000000005</v>
      </c>
      <c r="U53" s="159" t="str">
        <f t="shared" si="5"/>
        <v>KN</v>
      </c>
      <c r="AB53" s="11"/>
      <c r="AC53" s="11"/>
      <c r="AD53" s="11"/>
      <c r="AE53" s="11">
        <f>AE49+AE52</f>
        <v>2.5167999999999999</v>
      </c>
    </row>
    <row r="54" spans="4:31" x14ac:dyDescent="0.25">
      <c r="D54" s="32" t="s">
        <v>186</v>
      </c>
      <c r="E54" s="32">
        <v>38.299999999999997</v>
      </c>
      <c r="F54" s="32" t="s">
        <v>194</v>
      </c>
      <c r="G54" s="159">
        <f>E54*N31</f>
        <v>65.493000000000009</v>
      </c>
      <c r="H54" s="160" t="s">
        <v>178</v>
      </c>
      <c r="I54" s="32" t="s">
        <v>187</v>
      </c>
      <c r="J54" s="32">
        <f>E56</f>
        <v>98.89</v>
      </c>
      <c r="K54" s="32" t="s">
        <v>194</v>
      </c>
      <c r="L54" s="159">
        <f>J54*0.9*0.5*N29</f>
        <v>254.54286000000005</v>
      </c>
      <c r="M54" s="11" t="s">
        <v>178</v>
      </c>
      <c r="N54" s="32" t="s">
        <v>187</v>
      </c>
      <c r="O54" s="162">
        <f t="shared" si="3"/>
        <v>98.89</v>
      </c>
      <c r="P54" s="159">
        <f>L54</f>
        <v>254.54286000000005</v>
      </c>
      <c r="Q54" s="11" t="s">
        <v>178</v>
      </c>
      <c r="R54" s="32" t="s">
        <v>188</v>
      </c>
      <c r="S54" s="32">
        <f t="shared" si="7"/>
        <v>98.89</v>
      </c>
      <c r="T54" s="32">
        <f t="shared" si="7"/>
        <v>254.54286000000005</v>
      </c>
      <c r="U54" s="159" t="str">
        <f t="shared" si="5"/>
        <v>KN</v>
      </c>
    </row>
    <row r="55" spans="4:31" x14ac:dyDescent="0.25">
      <c r="D55" s="32" t="s">
        <v>187</v>
      </c>
      <c r="E55" s="32">
        <v>18.850000000000001</v>
      </c>
      <c r="F55" s="32" t="s">
        <v>194</v>
      </c>
      <c r="G55" s="159">
        <f>E55*N29</f>
        <v>107.82200000000002</v>
      </c>
      <c r="H55" s="160" t="s">
        <v>178</v>
      </c>
      <c r="I55" s="32" t="s">
        <v>188</v>
      </c>
      <c r="J55" s="32">
        <f>J54</f>
        <v>98.89</v>
      </c>
      <c r="K55" s="32" t="s">
        <v>194</v>
      </c>
      <c r="L55" s="159">
        <f>L54</f>
        <v>254.54286000000005</v>
      </c>
      <c r="M55" s="11" t="s">
        <v>178</v>
      </c>
      <c r="N55" s="32" t="s">
        <v>188</v>
      </c>
      <c r="O55" s="162">
        <f t="shared" si="3"/>
        <v>98.89</v>
      </c>
      <c r="P55" s="159">
        <f>L55</f>
        <v>254.54286000000005</v>
      </c>
      <c r="Q55" s="11" t="s">
        <v>178</v>
      </c>
      <c r="R55" s="32" t="s">
        <v>195</v>
      </c>
      <c r="S55" s="32">
        <f t="shared" si="7"/>
        <v>70.78</v>
      </c>
      <c r="T55" s="32">
        <f t="shared" si="7"/>
        <v>71.255641600000004</v>
      </c>
      <c r="U55" s="159" t="str">
        <f t="shared" si="5"/>
        <v>KN</v>
      </c>
    </row>
    <row r="56" spans="4:31" x14ac:dyDescent="0.25">
      <c r="D56" s="32" t="s">
        <v>188</v>
      </c>
      <c r="E56" s="32">
        <v>98.89</v>
      </c>
      <c r="F56" s="32" t="s">
        <v>194</v>
      </c>
      <c r="G56" s="159">
        <f>E56*0.9*0.5*N29</f>
        <v>254.54286000000005</v>
      </c>
      <c r="H56" s="160" t="s">
        <v>178</v>
      </c>
      <c r="I56" s="32" t="s">
        <v>195</v>
      </c>
      <c r="J56" s="32">
        <f>E57</f>
        <v>70.78</v>
      </c>
      <c r="K56" s="32" t="s">
        <v>194</v>
      </c>
      <c r="L56" s="159">
        <f>J56*0.8*0.5*N44</f>
        <v>71.255641600000004</v>
      </c>
      <c r="M56" s="11" t="s">
        <v>178</v>
      </c>
      <c r="N56" s="32" t="s">
        <v>195</v>
      </c>
      <c r="O56" s="162">
        <f t="shared" si="3"/>
        <v>70.78</v>
      </c>
      <c r="P56" s="159">
        <f>L56</f>
        <v>71.255641600000004</v>
      </c>
      <c r="Q56" s="11" t="s">
        <v>178</v>
      </c>
      <c r="R56" s="32" t="s">
        <v>189</v>
      </c>
      <c r="S56" s="32">
        <f t="shared" si="7"/>
        <v>70.78</v>
      </c>
      <c r="T56" s="32">
        <f t="shared" si="7"/>
        <v>71.255641600000004</v>
      </c>
      <c r="U56" s="159" t="str">
        <f t="shared" si="5"/>
        <v>KN</v>
      </c>
    </row>
    <row r="57" spans="4:31" x14ac:dyDescent="0.25">
      <c r="D57" s="32" t="s">
        <v>189</v>
      </c>
      <c r="E57" s="24">
        <v>70.78</v>
      </c>
      <c r="F57" s="32" t="s">
        <v>194</v>
      </c>
      <c r="G57" s="159">
        <f>E57*0.8*0.5*N44</f>
        <v>71.255641600000004</v>
      </c>
      <c r="H57" s="160" t="s">
        <v>178</v>
      </c>
      <c r="I57" s="32" t="s">
        <v>189</v>
      </c>
      <c r="J57" s="32">
        <f>J56</f>
        <v>70.78</v>
      </c>
      <c r="K57" s="32" t="s">
        <v>194</v>
      </c>
      <c r="L57" s="159">
        <f>L56</f>
        <v>71.255641600000004</v>
      </c>
      <c r="M57" s="11" t="s">
        <v>178</v>
      </c>
      <c r="N57" s="32" t="s">
        <v>189</v>
      </c>
      <c r="O57" s="162">
        <f t="shared" si="3"/>
        <v>70.78</v>
      </c>
      <c r="P57" s="159">
        <f>L57</f>
        <v>71.255641600000004</v>
      </c>
      <c r="Q57" s="11" t="s">
        <v>178</v>
      </c>
      <c r="R57" s="32" t="str">
        <f>N58</f>
        <v>pilastro 30x70 sup</v>
      </c>
      <c r="S57" s="32">
        <f t="shared" ref="S57:T57" si="8">O58</f>
        <v>25</v>
      </c>
      <c r="T57" s="32">
        <f t="shared" si="8"/>
        <v>170.625</v>
      </c>
      <c r="U57" s="159" t="str">
        <f t="shared" si="5"/>
        <v>KN</v>
      </c>
    </row>
    <row r="58" spans="4:31" x14ac:dyDescent="0.25">
      <c r="D58" s="32" t="s">
        <v>190</v>
      </c>
      <c r="E58" s="32">
        <v>4</v>
      </c>
      <c r="F58" s="32" t="s">
        <v>194</v>
      </c>
      <c r="G58" s="159">
        <f>E58*0.5*N40</f>
        <v>28.35</v>
      </c>
      <c r="H58" s="160" t="s">
        <v>178</v>
      </c>
      <c r="I58" s="32" t="s">
        <v>190</v>
      </c>
      <c r="J58" s="32">
        <f>E59</f>
        <v>25</v>
      </c>
      <c r="K58" s="32" t="s">
        <v>194</v>
      </c>
      <c r="L58" s="159">
        <f>J58*0.5*N40</f>
        <v>177.1875</v>
      </c>
      <c r="M58" s="11" t="s">
        <v>178</v>
      </c>
      <c r="N58" s="32" t="s">
        <v>190</v>
      </c>
      <c r="O58" s="162">
        <f t="shared" si="3"/>
        <v>25</v>
      </c>
      <c r="P58" s="159">
        <f>O58*N34*0.5</f>
        <v>170.625</v>
      </c>
      <c r="Q58" s="11" t="s">
        <v>178</v>
      </c>
      <c r="R58" s="32" t="s">
        <v>191</v>
      </c>
      <c r="S58" s="32">
        <f t="shared" si="6"/>
        <v>25</v>
      </c>
      <c r="T58" s="159">
        <f>S58*0.5*N39</f>
        <v>203.43750000000003</v>
      </c>
      <c r="U58" s="159" t="str">
        <f t="shared" si="5"/>
        <v>KN</v>
      </c>
    </row>
    <row r="59" spans="4:31" x14ac:dyDescent="0.25">
      <c r="D59" s="32" t="s">
        <v>191</v>
      </c>
      <c r="E59" s="32">
        <v>25</v>
      </c>
      <c r="F59" s="32" t="s">
        <v>194</v>
      </c>
      <c r="G59" s="159">
        <f>E59*N40*0.5</f>
        <v>177.1875</v>
      </c>
      <c r="H59" s="160" t="s">
        <v>178</v>
      </c>
      <c r="I59" s="32" t="s">
        <v>191</v>
      </c>
      <c r="J59" s="32">
        <f>J58</f>
        <v>25</v>
      </c>
      <c r="K59" s="32" t="s">
        <v>194</v>
      </c>
      <c r="L59" s="159">
        <f>L58</f>
        <v>177.1875</v>
      </c>
      <c r="M59" s="11" t="s">
        <v>178</v>
      </c>
      <c r="N59" s="32" t="s">
        <v>191</v>
      </c>
      <c r="O59" s="162">
        <f t="shared" si="3"/>
        <v>25</v>
      </c>
      <c r="P59" s="159">
        <f>P58</f>
        <v>170.625</v>
      </c>
      <c r="Q59" s="11" t="s">
        <v>178</v>
      </c>
      <c r="R59" s="32" t="str">
        <f>N50</f>
        <v>terrazzino</v>
      </c>
      <c r="S59" s="32">
        <f t="shared" ref="S59:T59" si="9">O50</f>
        <v>35.1</v>
      </c>
      <c r="T59" s="32">
        <f t="shared" si="9"/>
        <v>232.011</v>
      </c>
      <c r="U59" s="32" t="str">
        <f t="shared" ref="U59" si="10">Q50</f>
        <v>KN</v>
      </c>
    </row>
    <row r="60" spans="4:31" x14ac:dyDescent="0.25">
      <c r="D60" s="32"/>
      <c r="E60" s="32"/>
      <c r="F60" s="32"/>
      <c r="G60" s="159"/>
      <c r="H60" s="160"/>
      <c r="I60" s="32" t="s">
        <v>196</v>
      </c>
      <c r="J60" s="32">
        <v>2</v>
      </c>
      <c r="K60" s="32" t="s">
        <v>194</v>
      </c>
      <c r="L60" s="159">
        <f>J60*0.5*N43</f>
        <v>6.0750000000000002</v>
      </c>
      <c r="M60" s="11" t="s">
        <v>178</v>
      </c>
      <c r="N60" s="32" t="s">
        <v>196</v>
      </c>
      <c r="O60" s="162">
        <f t="shared" si="3"/>
        <v>2</v>
      </c>
      <c r="P60" s="32">
        <f>N42*O60*0.5</f>
        <v>5.8500000000000005</v>
      </c>
      <c r="Q60" s="11" t="s">
        <v>178</v>
      </c>
      <c r="R60" s="32" t="str">
        <f>N60</f>
        <v>pilastri 30x30 sup</v>
      </c>
      <c r="S60" s="32">
        <f>O60</f>
        <v>2</v>
      </c>
      <c r="T60" s="32">
        <f>P60</f>
        <v>5.8500000000000005</v>
      </c>
      <c r="U60" s="159" t="str">
        <f>Q59</f>
        <v>KN</v>
      </c>
    </row>
    <row r="61" spans="4:31" x14ac:dyDescent="0.25">
      <c r="D61" s="11"/>
      <c r="E61" s="32"/>
      <c r="F61" s="32" t="s">
        <v>55</v>
      </c>
      <c r="G61" s="159">
        <f>SUM(G49:G60)</f>
        <v>3080.0592015999996</v>
      </c>
      <c r="H61" s="160" t="s">
        <v>178</v>
      </c>
      <c r="I61" s="32" t="s">
        <v>192</v>
      </c>
      <c r="J61" s="32">
        <v>2</v>
      </c>
      <c r="K61" s="32" t="s">
        <v>194</v>
      </c>
      <c r="L61" s="159">
        <f>L60</f>
        <v>6.0750000000000002</v>
      </c>
      <c r="M61" s="11" t="s">
        <v>178</v>
      </c>
      <c r="N61" s="32" t="s">
        <v>192</v>
      </c>
      <c r="O61" s="162">
        <f t="shared" si="3"/>
        <v>2</v>
      </c>
      <c r="P61" s="32">
        <f>P60</f>
        <v>5.8500000000000005</v>
      </c>
      <c r="Q61" s="11" t="s">
        <v>178</v>
      </c>
      <c r="R61" s="32" t="str">
        <f>N61</f>
        <v>pilastri 30x30 inf</v>
      </c>
      <c r="S61" s="32">
        <f t="shared" ref="S61" si="11">O61</f>
        <v>2</v>
      </c>
      <c r="T61" s="32">
        <f>S61*0.5*N41</f>
        <v>6.9750000000000005</v>
      </c>
      <c r="U61" s="11"/>
    </row>
    <row r="62" spans="4:31" x14ac:dyDescent="0.25">
      <c r="I62" s="11"/>
      <c r="J62" s="11"/>
      <c r="K62" s="32" t="s">
        <v>55</v>
      </c>
      <c r="L62" s="159">
        <f>SUM(L49:L61)</f>
        <v>3249.7718831999996</v>
      </c>
      <c r="M62" s="11" t="s">
        <v>178</v>
      </c>
      <c r="N62" s="11"/>
      <c r="O62" s="32" t="s">
        <v>55</v>
      </c>
      <c r="P62" s="159">
        <f>SUM(P49:P61)</f>
        <v>3322.0868832000001</v>
      </c>
      <c r="Q62" s="11" t="s">
        <v>178</v>
      </c>
      <c r="R62" s="11"/>
      <c r="S62" s="11"/>
      <c r="T62" s="85">
        <f>SUM(T49:T61)</f>
        <v>3356.0243832000001</v>
      </c>
      <c r="U62" s="11"/>
    </row>
    <row r="63" spans="4:31" x14ac:dyDescent="0.25">
      <c r="D63" s="32" t="s">
        <v>173</v>
      </c>
      <c r="E63" s="11"/>
      <c r="F63" s="11"/>
      <c r="G63" s="11"/>
    </row>
    <row r="64" spans="4:31" x14ac:dyDescent="0.25">
      <c r="D64" s="32" t="s">
        <v>56</v>
      </c>
      <c r="E64" s="32">
        <v>27.9</v>
      </c>
      <c r="F64" s="159">
        <f>E64*N36</f>
        <v>105.18299999999998</v>
      </c>
      <c r="G64" s="11" t="s">
        <v>178</v>
      </c>
      <c r="P64" s="174"/>
      <c r="Q64" s="174"/>
    </row>
    <row r="65" spans="4:11" x14ac:dyDescent="0.25">
      <c r="D65" s="32" t="s">
        <v>184</v>
      </c>
      <c r="E65" s="32">
        <f>'[1]masse e forze'!$B$2-E64</f>
        <v>11.700000000000003</v>
      </c>
      <c r="F65" s="159">
        <f>E65*N38</f>
        <v>45.63000000000001</v>
      </c>
      <c r="G65" s="11" t="s">
        <v>178</v>
      </c>
    </row>
    <row r="66" spans="4:11" x14ac:dyDescent="0.25">
      <c r="D66" s="32" t="s">
        <v>200</v>
      </c>
      <c r="E66" s="32">
        <v>18.850000000000001</v>
      </c>
      <c r="F66" s="159">
        <f>E66*N37</f>
        <v>55.701750000000004</v>
      </c>
      <c r="G66" s="11" t="s">
        <v>178</v>
      </c>
    </row>
    <row r="67" spans="4:11" x14ac:dyDescent="0.25">
      <c r="D67" s="32" t="s">
        <v>188</v>
      </c>
      <c r="E67" s="32">
        <f>E55</f>
        <v>18.850000000000001</v>
      </c>
      <c r="F67" s="159">
        <f>E67*0.5*N29</f>
        <v>53.911000000000008</v>
      </c>
      <c r="G67" s="11" t="s">
        <v>178</v>
      </c>
    </row>
    <row r="68" spans="4:11" x14ac:dyDescent="0.25">
      <c r="D68" s="32" t="s">
        <v>191</v>
      </c>
      <c r="E68" s="32">
        <v>4</v>
      </c>
      <c r="F68" s="159">
        <f>E68*N39</f>
        <v>65.100000000000009</v>
      </c>
      <c r="G68" s="11" t="s">
        <v>178</v>
      </c>
      <c r="I68" s="80"/>
      <c r="J68" s="85"/>
      <c r="K68" s="80"/>
    </row>
    <row r="69" spans="4:11" x14ac:dyDescent="0.25">
      <c r="D69" s="11"/>
      <c r="E69" s="32" t="s">
        <v>55</v>
      </c>
      <c r="F69" s="159">
        <f>SUM(F64:F68)</f>
        <v>325.52575000000002</v>
      </c>
      <c r="G69" s="11" t="s">
        <v>178</v>
      </c>
    </row>
    <row r="70" spans="4:11" x14ac:dyDescent="0.25">
      <c r="D70" s="80"/>
    </row>
    <row r="74" spans="4:11" x14ac:dyDescent="0.25">
      <c r="K74" s="8"/>
    </row>
    <row r="75" spans="4:11" x14ac:dyDescent="0.25">
      <c r="K75" s="9"/>
    </row>
    <row r="76" spans="4:11" x14ac:dyDescent="0.25">
      <c r="I76" s="240"/>
      <c r="J76" s="240"/>
    </row>
    <row r="77" spans="4:11" x14ac:dyDescent="0.25">
      <c r="I77" s="240"/>
      <c r="J77" s="240"/>
    </row>
    <row r="78" spans="4:11" x14ac:dyDescent="0.25">
      <c r="I78" s="240"/>
      <c r="J78" s="240"/>
    </row>
  </sheetData>
  <mergeCells count="126">
    <mergeCell ref="M17:O17"/>
    <mergeCell ref="P17:Q17"/>
    <mergeCell ref="U17:W17"/>
    <mergeCell ref="U13:W13"/>
    <mergeCell ref="R12:T12"/>
    <mergeCell ref="U12:W12"/>
    <mergeCell ref="M11:O11"/>
    <mergeCell ref="R11:T11"/>
    <mergeCell ref="M12:O12"/>
    <mergeCell ref="U11:W11"/>
    <mergeCell ref="R17:T17"/>
    <mergeCell ref="M16:O16"/>
    <mergeCell ref="R16:T16"/>
    <mergeCell ref="U16:W16"/>
    <mergeCell ref="P16:Q16"/>
    <mergeCell ref="Y6:AF6"/>
    <mergeCell ref="Y9:AF9"/>
    <mergeCell ref="AB10:AD10"/>
    <mergeCell ref="AE10:AF10"/>
    <mergeCell ref="AB11:AD11"/>
    <mergeCell ref="AE11:AF11"/>
    <mergeCell ref="O7:P7"/>
    <mergeCell ref="M13:T13"/>
    <mergeCell ref="M15:W15"/>
    <mergeCell ref="Y12:AD12"/>
    <mergeCell ref="AE12:AF12"/>
    <mergeCell ref="Q6:T6"/>
    <mergeCell ref="O6:P6"/>
    <mergeCell ref="M6:N6"/>
    <mergeCell ref="U8:W8"/>
    <mergeCell ref="Q7:T7"/>
    <mergeCell ref="U7:W7"/>
    <mergeCell ref="M8:T8"/>
    <mergeCell ref="M7:N7"/>
    <mergeCell ref="M10:W10"/>
    <mergeCell ref="Y15:Z15"/>
    <mergeCell ref="AA15:AC15"/>
    <mergeCell ref="AD15:AF15"/>
    <mergeCell ref="M5:W5"/>
    <mergeCell ref="U6:W6"/>
    <mergeCell ref="Y1:AF1"/>
    <mergeCell ref="Y2:AF2"/>
    <mergeCell ref="Y3:AF3"/>
    <mergeCell ref="Y4:Z4"/>
    <mergeCell ref="AA4:AC4"/>
    <mergeCell ref="AD4:AF4"/>
    <mergeCell ref="M1:W1"/>
    <mergeCell ref="Q4:R4"/>
    <mergeCell ref="S4:T4"/>
    <mergeCell ref="U4:W4"/>
    <mergeCell ref="Q2:R3"/>
    <mergeCell ref="S2:T3"/>
    <mergeCell ref="U2:W3"/>
    <mergeCell ref="O2:P2"/>
    <mergeCell ref="O3:P3"/>
    <mergeCell ref="O4:P4"/>
    <mergeCell ref="M2:N2"/>
    <mergeCell ref="M3:N3"/>
    <mergeCell ref="M4:N4"/>
    <mergeCell ref="Y5:Z5"/>
    <mergeCell ref="AA5:AC5"/>
    <mergeCell ref="AD5:AF5"/>
    <mergeCell ref="D17:K17"/>
    <mergeCell ref="D18:E18"/>
    <mergeCell ref="F18:H18"/>
    <mergeCell ref="I18:K18"/>
    <mergeCell ref="D1:K1"/>
    <mergeCell ref="D2:K2"/>
    <mergeCell ref="D3:K3"/>
    <mergeCell ref="D6:K6"/>
    <mergeCell ref="I4:K4"/>
    <mergeCell ref="F4:H4"/>
    <mergeCell ref="D4:E4"/>
    <mergeCell ref="J10:K10"/>
    <mergeCell ref="D13:K13"/>
    <mergeCell ref="G10:I10"/>
    <mergeCell ref="D12:I12"/>
    <mergeCell ref="D9:K9"/>
    <mergeCell ref="D14:K14"/>
    <mergeCell ref="D15:E15"/>
    <mergeCell ref="F15:H15"/>
    <mergeCell ref="I15:K15"/>
    <mergeCell ref="Y16:Z16"/>
    <mergeCell ref="AA16:AC16"/>
    <mergeCell ref="AD16:AF16"/>
    <mergeCell ref="Y13:AF13"/>
    <mergeCell ref="Y14:AF14"/>
    <mergeCell ref="U20:W20"/>
    <mergeCell ref="U19:W19"/>
    <mergeCell ref="Y17:AF17"/>
    <mergeCell ref="Y20:AF20"/>
    <mergeCell ref="Y18:Z18"/>
    <mergeCell ref="AA18:AC18"/>
    <mergeCell ref="Y19:Z19"/>
    <mergeCell ref="AD18:AF18"/>
    <mergeCell ref="AA19:AC19"/>
    <mergeCell ref="AD19:AF19"/>
    <mergeCell ref="M19:T19"/>
    <mergeCell ref="U22:W22"/>
    <mergeCell ref="R20:T20"/>
    <mergeCell ref="D20:K20"/>
    <mergeCell ref="U21:W21"/>
    <mergeCell ref="Y21:Z21"/>
    <mergeCell ref="AB46:AE46"/>
    <mergeCell ref="I77:J77"/>
    <mergeCell ref="I76:J76"/>
    <mergeCell ref="D23:H23"/>
    <mergeCell ref="I21:K21"/>
    <mergeCell ref="D21:E21"/>
    <mergeCell ref="F21:H21"/>
    <mergeCell ref="R21:T21"/>
    <mergeCell ref="M21:O21"/>
    <mergeCell ref="M20:O20"/>
    <mergeCell ref="P20:Q20"/>
    <mergeCell ref="AD23:AF23"/>
    <mergeCell ref="I78:J78"/>
    <mergeCell ref="AA21:AC21"/>
    <mergeCell ref="AD21:AF21"/>
    <mergeCell ref="Y22:Z22"/>
    <mergeCell ref="AA22:AC22"/>
    <mergeCell ref="AD22:AF22"/>
    <mergeCell ref="Y23:AC23"/>
    <mergeCell ref="E26:K26"/>
    <mergeCell ref="L26:N26"/>
    <mergeCell ref="U24:W24"/>
    <mergeCell ref="P21:Q21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6"/>
  <sheetViews>
    <sheetView topLeftCell="A22" zoomScale="80" zoomScaleNormal="80" workbookViewId="0">
      <selection activeCell="S46" sqref="S46"/>
    </sheetView>
  </sheetViews>
  <sheetFormatPr defaultRowHeight="15" x14ac:dyDescent="0.25"/>
  <cols>
    <col min="1" max="15" width="9.140625" style="218"/>
    <col min="16" max="16" width="16.28515625" style="218" customWidth="1"/>
    <col min="17" max="17" width="9.140625" style="218"/>
    <col min="18" max="18" width="9.140625" style="218" customWidth="1"/>
    <col min="19" max="19" width="14.28515625" style="218" customWidth="1"/>
    <col min="20" max="21" width="12.42578125" style="218" bestFit="1" customWidth="1"/>
  </cols>
  <sheetData>
    <row r="2" spans="1:21" x14ac:dyDescent="0.25">
      <c r="A2" s="218" t="s">
        <v>412</v>
      </c>
      <c r="O2" s="235"/>
      <c r="P2" s="229"/>
      <c r="Q2" s="230" t="s">
        <v>419</v>
      </c>
      <c r="R2" s="231"/>
      <c r="S2" s="229"/>
      <c r="T2" s="232" t="s">
        <v>420</v>
      </c>
      <c r="U2" s="231"/>
    </row>
    <row r="3" spans="1:21" x14ac:dyDescent="0.25">
      <c r="A3" s="221" t="s">
        <v>404</v>
      </c>
      <c r="B3" s="221" t="s">
        <v>405</v>
      </c>
      <c r="C3" s="221"/>
      <c r="D3" s="221" t="s">
        <v>406</v>
      </c>
      <c r="E3" s="221"/>
      <c r="F3" s="221" t="str">
        <f>[16]pil!$H$1</f>
        <v>CondCar  3</v>
      </c>
      <c r="H3" s="221" t="s">
        <v>404</v>
      </c>
      <c r="I3" s="221" t="s">
        <v>405</v>
      </c>
      <c r="J3" s="221"/>
      <c r="K3" s="221" t="s">
        <v>406</v>
      </c>
      <c r="L3" s="221"/>
      <c r="M3" s="221" t="str">
        <f>[16]pil!$H$1</f>
        <v>CondCar  3</v>
      </c>
      <c r="O3" s="233" t="s">
        <v>411</v>
      </c>
      <c r="P3" s="234" t="str">
        <f>confronti!B19</f>
        <v>PREVISIONE x</v>
      </c>
      <c r="Q3" s="225" t="s">
        <v>409</v>
      </c>
      <c r="R3" s="225" t="s">
        <v>408</v>
      </c>
      <c r="S3" s="234" t="str">
        <f>confronti!B38</f>
        <v>PREVISIONE x</v>
      </c>
      <c r="T3" s="225" t="str">
        <f t="shared" ref="T3:T4" si="0">R30</f>
        <v>telaio 7</v>
      </c>
      <c r="U3" s="225" t="str">
        <f t="shared" ref="U3:U9" si="1">I30</f>
        <v>telaio2</v>
      </c>
    </row>
    <row r="4" spans="1:21" x14ac:dyDescent="0.25">
      <c r="A4" s="221">
        <v>2</v>
      </c>
      <c r="B4" s="221">
        <v>15</v>
      </c>
      <c r="C4" s="221"/>
      <c r="D4" s="221">
        <v>6</v>
      </c>
      <c r="E4" s="221" t="s">
        <v>407</v>
      </c>
      <c r="F4" s="221">
        <f>[16]pil!$H$74</f>
        <v>54.871000000000002</v>
      </c>
      <c r="H4" s="221">
        <v>7</v>
      </c>
      <c r="I4" s="221">
        <v>4</v>
      </c>
      <c r="J4" s="221"/>
      <c r="K4" s="221">
        <v>6</v>
      </c>
      <c r="L4" s="221" t="s">
        <v>407</v>
      </c>
      <c r="M4" s="221">
        <f>[16]pil!$H$506</f>
        <v>55.433</v>
      </c>
      <c r="O4" s="236">
        <v>6</v>
      </c>
      <c r="P4" s="237">
        <f>confronti!B20</f>
        <v>44.281912171396542</v>
      </c>
      <c r="Q4" s="237">
        <f>MAX(M4,M10,M16)</f>
        <v>68.762</v>
      </c>
      <c r="R4" s="237">
        <f t="shared" ref="R4:R9" si="2">MAX(F4,F10,F16,F22)</f>
        <v>109.304</v>
      </c>
      <c r="S4" s="237">
        <f>confronti!B39</f>
        <v>22.140956085698271</v>
      </c>
      <c r="T4" s="237">
        <f t="shared" si="0"/>
        <v>55.433</v>
      </c>
      <c r="U4" s="237">
        <f t="shared" si="1"/>
        <v>60.393999999999998</v>
      </c>
    </row>
    <row r="5" spans="1:21" x14ac:dyDescent="0.25">
      <c r="A5" s="221">
        <v>2</v>
      </c>
      <c r="B5" s="221">
        <v>15</v>
      </c>
      <c r="C5" s="221"/>
      <c r="D5" s="221">
        <v>5</v>
      </c>
      <c r="E5" s="221" t="s">
        <v>407</v>
      </c>
      <c r="F5" s="221">
        <f>[16]pil!$H$78</f>
        <v>74.825999999999993</v>
      </c>
      <c r="H5" s="221">
        <v>7</v>
      </c>
      <c r="I5" s="221">
        <v>4</v>
      </c>
      <c r="J5" s="221"/>
      <c r="K5" s="221">
        <v>5</v>
      </c>
      <c r="L5" s="221" t="s">
        <v>407</v>
      </c>
      <c r="M5" s="221">
        <f>[16]pil!$H$510</f>
        <v>77.766999999999996</v>
      </c>
      <c r="O5" s="236">
        <v>5</v>
      </c>
      <c r="P5" s="237">
        <f>confronti!B21</f>
        <v>99.592404242766108</v>
      </c>
      <c r="Q5" s="237">
        <f t="shared" ref="Q5:Q9" si="3">MAX(M5,M11,M17)</f>
        <v>87.308999999999997</v>
      </c>
      <c r="R5" s="237">
        <f t="shared" si="2"/>
        <v>124.261</v>
      </c>
      <c r="S5" s="237">
        <f>confronti!B40</f>
        <v>71.937158207081325</v>
      </c>
      <c r="T5" s="237">
        <f>R33</f>
        <v>88.816000000000003</v>
      </c>
      <c r="U5" s="237">
        <f t="shared" si="1"/>
        <v>96.897000000000006</v>
      </c>
    </row>
    <row r="6" spans="1:21" x14ac:dyDescent="0.25">
      <c r="A6" s="221">
        <v>2</v>
      </c>
      <c r="B6" s="221">
        <v>15</v>
      </c>
      <c r="C6" s="221"/>
      <c r="D6" s="221">
        <v>4</v>
      </c>
      <c r="E6" s="221" t="s">
        <v>407</v>
      </c>
      <c r="F6" s="221">
        <f>[16]pil!$H$82</f>
        <v>103.544</v>
      </c>
      <c r="H6" s="221">
        <v>7</v>
      </c>
      <c r="I6" s="221">
        <v>4</v>
      </c>
      <c r="J6" s="221"/>
      <c r="K6" s="221">
        <v>4</v>
      </c>
      <c r="L6" s="221" t="s">
        <v>407</v>
      </c>
      <c r="M6" s="221">
        <f>[16]pil!$H$514</f>
        <v>109.768</v>
      </c>
      <c r="O6" s="236">
        <v>4</v>
      </c>
      <c r="P6" s="237">
        <f>confronti!B22</f>
        <v>136.04605783923873</v>
      </c>
      <c r="Q6" s="237">
        <f t="shared" si="3"/>
        <v>121.239</v>
      </c>
      <c r="R6" s="237">
        <f t="shared" si="2"/>
        <v>185.80600000000001</v>
      </c>
      <c r="S6" s="237">
        <f>confronti!B41</f>
        <v>117.81923104100241</v>
      </c>
      <c r="T6" s="237">
        <f>R35</f>
        <v>171.23099999999999</v>
      </c>
      <c r="U6" s="237">
        <f t="shared" si="1"/>
        <v>163.86</v>
      </c>
    </row>
    <row r="7" spans="1:21" x14ac:dyDescent="0.25">
      <c r="A7" s="221">
        <v>2</v>
      </c>
      <c r="B7" s="221">
        <v>15</v>
      </c>
      <c r="C7" s="221"/>
      <c r="D7" s="221">
        <v>3</v>
      </c>
      <c r="E7" s="221" t="s">
        <v>407</v>
      </c>
      <c r="F7" s="221">
        <f>[16]pil!$H$86</f>
        <v>117.90600000000001</v>
      </c>
      <c r="H7" s="221">
        <v>7</v>
      </c>
      <c r="I7" s="221">
        <v>4</v>
      </c>
      <c r="J7" s="221"/>
      <c r="K7" s="221">
        <v>3</v>
      </c>
      <c r="L7" s="221" t="s">
        <v>407</v>
      </c>
      <c r="M7" s="221">
        <f>[16]pil!$H$518</f>
        <v>125.292</v>
      </c>
      <c r="O7" s="236">
        <v>3</v>
      </c>
      <c r="P7" s="237">
        <f>confronti!B23</f>
        <v>163.7289075628758</v>
      </c>
      <c r="Q7" s="237">
        <f t="shared" si="3"/>
        <v>137.72399999999999</v>
      </c>
      <c r="R7" s="237">
        <f t="shared" si="2"/>
        <v>205.018</v>
      </c>
      <c r="S7" s="237">
        <f>confronti!B42</f>
        <v>149.88748270105725</v>
      </c>
      <c r="T7" s="237">
        <f>R37</f>
        <v>207.56299999999999</v>
      </c>
      <c r="U7" s="237">
        <f t="shared" si="1"/>
        <v>196.66900000000001</v>
      </c>
    </row>
    <row r="8" spans="1:21" x14ac:dyDescent="0.25">
      <c r="A8" s="221">
        <v>2</v>
      </c>
      <c r="B8" s="221">
        <v>15</v>
      </c>
      <c r="C8" s="221"/>
      <c r="D8" s="221">
        <v>2</v>
      </c>
      <c r="E8" s="221" t="s">
        <v>407</v>
      </c>
      <c r="F8" s="221">
        <f>[16]pil!$H$90</f>
        <v>119.32599999999999</v>
      </c>
      <c r="H8" s="221">
        <v>7</v>
      </c>
      <c r="I8" s="221">
        <v>4</v>
      </c>
      <c r="J8" s="221"/>
      <c r="K8" s="221">
        <v>2</v>
      </c>
      <c r="L8" s="221" t="s">
        <v>407</v>
      </c>
      <c r="M8" s="221">
        <f>[16]pil!$H$522</f>
        <v>127.985</v>
      </c>
      <c r="O8" s="236">
        <v>2</v>
      </c>
      <c r="P8" s="237">
        <f>confronti!B24</f>
        <v>182.64095341367738</v>
      </c>
      <c r="Q8" s="237">
        <f t="shared" si="3"/>
        <v>141.51300000000001</v>
      </c>
      <c r="R8" s="237">
        <f t="shared" si="2"/>
        <v>214.93799999999999</v>
      </c>
      <c r="S8" s="237">
        <f>confronti!B43</f>
        <v>173.18493048827659</v>
      </c>
      <c r="T8" s="237">
        <f>R39</f>
        <v>235.52099999999999</v>
      </c>
      <c r="U8" s="237">
        <f t="shared" si="1"/>
        <v>220.767</v>
      </c>
    </row>
    <row r="9" spans="1:21" x14ac:dyDescent="0.25">
      <c r="A9" s="221">
        <v>2</v>
      </c>
      <c r="B9" s="221">
        <v>15</v>
      </c>
      <c r="C9" s="221"/>
      <c r="D9" s="221">
        <v>1</v>
      </c>
      <c r="E9" s="221" t="s">
        <v>407</v>
      </c>
      <c r="F9" s="221">
        <f>[16]pil!$H$94</f>
        <v>94.753</v>
      </c>
      <c r="H9" s="221">
        <v>7</v>
      </c>
      <c r="I9" s="221">
        <v>4</v>
      </c>
      <c r="J9" s="221"/>
      <c r="K9" s="221">
        <v>1</v>
      </c>
      <c r="L9" s="221" t="s">
        <v>407</v>
      </c>
      <c r="M9" s="221">
        <f>[16]pil!$H$526</f>
        <v>102.58199999999999</v>
      </c>
      <c r="O9" s="236" t="s">
        <v>227</v>
      </c>
      <c r="P9" s="237">
        <f>confronti!B25</f>
        <v>178.41936079254813</v>
      </c>
      <c r="Q9" s="237">
        <f t="shared" si="3"/>
        <v>111.568</v>
      </c>
      <c r="R9" s="237">
        <f t="shared" si="2"/>
        <v>156.40100000000001</v>
      </c>
      <c r="S9" s="237">
        <f>confronti!B44</f>
        <v>180.53015710311274</v>
      </c>
      <c r="T9" s="237">
        <f>R41</f>
        <v>236.48</v>
      </c>
      <c r="U9" s="237">
        <f t="shared" si="1"/>
        <v>217.64099999999999</v>
      </c>
    </row>
    <row r="10" spans="1:21" x14ac:dyDescent="0.25">
      <c r="A10" s="221">
        <v>2</v>
      </c>
      <c r="B10" s="221">
        <v>19</v>
      </c>
      <c r="C10" s="221"/>
      <c r="D10" s="221">
        <v>6</v>
      </c>
      <c r="E10" s="221" t="s">
        <v>407</v>
      </c>
      <c r="F10" s="221">
        <f>[16]pil!$H$98</f>
        <v>109.15900000000001</v>
      </c>
      <c r="H10" s="221">
        <v>7</v>
      </c>
      <c r="I10" s="221">
        <v>8</v>
      </c>
      <c r="J10" s="221"/>
      <c r="K10" s="221">
        <v>6</v>
      </c>
      <c r="L10" s="221" t="s">
        <v>407</v>
      </c>
      <c r="M10" s="221">
        <f>[16]pil!$H$530</f>
        <v>68.762</v>
      </c>
      <c r="O10" s="236" t="s">
        <v>410</v>
      </c>
      <c r="P10" s="237">
        <f>confronti!B26</f>
        <v>267.62904118882221</v>
      </c>
      <c r="Q10" s="237">
        <f>-[16]pil!$H$551</f>
        <v>273.74900000000002</v>
      </c>
      <c r="R10" s="237">
        <f>-[16]pil!$H$119</f>
        <v>274.84199999999998</v>
      </c>
      <c r="S10" s="228"/>
      <c r="T10" s="228"/>
      <c r="U10" s="228"/>
    </row>
    <row r="11" spans="1:21" x14ac:dyDescent="0.25">
      <c r="A11" s="221">
        <v>2</v>
      </c>
      <c r="B11" s="221">
        <v>19</v>
      </c>
      <c r="C11" s="221"/>
      <c r="D11" s="221">
        <v>5</v>
      </c>
      <c r="E11" s="221" t="s">
        <v>407</v>
      </c>
      <c r="F11" s="221">
        <f>[16]pil!$H$102</f>
        <v>124.261</v>
      </c>
      <c r="H11" s="221">
        <v>7</v>
      </c>
      <c r="I11" s="221">
        <v>8</v>
      </c>
      <c r="J11" s="221"/>
      <c r="K11" s="221">
        <v>5</v>
      </c>
      <c r="L11" s="221" t="s">
        <v>407</v>
      </c>
      <c r="M11" s="221">
        <f>[16]pil!$H$534</f>
        <v>87.308999999999997</v>
      </c>
    </row>
    <row r="12" spans="1:21" x14ac:dyDescent="0.25">
      <c r="A12" s="221">
        <v>2</v>
      </c>
      <c r="B12" s="221">
        <v>19</v>
      </c>
      <c r="C12" s="221"/>
      <c r="D12" s="221">
        <v>4</v>
      </c>
      <c r="E12" s="221" t="s">
        <v>407</v>
      </c>
      <c r="F12" s="221">
        <f>[16]pil!$H$106</f>
        <v>185.80600000000001</v>
      </c>
      <c r="H12" s="221">
        <v>7</v>
      </c>
      <c r="I12" s="221">
        <v>8</v>
      </c>
      <c r="J12" s="221"/>
      <c r="K12" s="221">
        <v>4</v>
      </c>
      <c r="L12" s="221" t="s">
        <v>407</v>
      </c>
      <c r="M12" s="221">
        <f>[16]pil!$H$538</f>
        <v>121.239</v>
      </c>
    </row>
    <row r="13" spans="1:21" x14ac:dyDescent="0.25">
      <c r="A13" s="221">
        <v>2</v>
      </c>
      <c r="B13" s="221">
        <v>19</v>
      </c>
      <c r="C13" s="221"/>
      <c r="D13" s="221">
        <v>3</v>
      </c>
      <c r="E13" s="221" t="s">
        <v>407</v>
      </c>
      <c r="F13" s="221">
        <f>[16]pil!$H$110</f>
        <v>205.018</v>
      </c>
      <c r="H13" s="221">
        <v>7</v>
      </c>
      <c r="I13" s="221">
        <v>8</v>
      </c>
      <c r="J13" s="221"/>
      <c r="K13" s="221">
        <v>3</v>
      </c>
      <c r="L13" s="221" t="s">
        <v>407</v>
      </c>
      <c r="M13" s="221">
        <f>[16]pil!$H$542</f>
        <v>137.72399999999999</v>
      </c>
    </row>
    <row r="14" spans="1:21" x14ac:dyDescent="0.25">
      <c r="A14" s="221">
        <v>2</v>
      </c>
      <c r="B14" s="221">
        <v>19</v>
      </c>
      <c r="C14" s="221"/>
      <c r="D14" s="221">
        <v>2</v>
      </c>
      <c r="E14" s="221" t="s">
        <v>407</v>
      </c>
      <c r="F14" s="221">
        <f>[16]pil!$H$114</f>
        <v>214.93799999999999</v>
      </c>
      <c r="H14" s="221">
        <v>7</v>
      </c>
      <c r="I14" s="221">
        <v>8</v>
      </c>
      <c r="J14" s="221"/>
      <c r="K14" s="221">
        <v>2</v>
      </c>
      <c r="L14" s="221" t="s">
        <v>407</v>
      </c>
      <c r="M14" s="221">
        <f>[16]pil!$H$546</f>
        <v>141.51300000000001</v>
      </c>
    </row>
    <row r="15" spans="1:21" x14ac:dyDescent="0.25">
      <c r="A15" s="221">
        <v>2</v>
      </c>
      <c r="B15" s="221">
        <v>19</v>
      </c>
      <c r="C15" s="221"/>
      <c r="D15" s="221">
        <v>1</v>
      </c>
      <c r="E15" s="221" t="s">
        <v>407</v>
      </c>
      <c r="F15" s="221">
        <f>[16]pil!$H$118</f>
        <v>156.40100000000001</v>
      </c>
      <c r="H15" s="221">
        <v>7</v>
      </c>
      <c r="I15" s="221">
        <v>8</v>
      </c>
      <c r="J15" s="221"/>
      <c r="K15" s="221">
        <v>1</v>
      </c>
      <c r="L15" s="221" t="s">
        <v>407</v>
      </c>
      <c r="M15" s="221">
        <f>[16]pil!$H$550</f>
        <v>111.568</v>
      </c>
    </row>
    <row r="16" spans="1:21" x14ac:dyDescent="0.25">
      <c r="A16" s="221">
        <v>2</v>
      </c>
      <c r="B16" s="221">
        <v>23</v>
      </c>
      <c r="C16" s="221"/>
      <c r="D16" s="221">
        <v>6</v>
      </c>
      <c r="E16" s="221" t="s">
        <v>407</v>
      </c>
      <c r="F16" s="221">
        <f>[16]pil!$H$122</f>
        <v>109.304</v>
      </c>
      <c r="H16" s="221">
        <v>7</v>
      </c>
      <c r="I16" s="221">
        <v>12</v>
      </c>
      <c r="J16" s="221"/>
      <c r="K16" s="221">
        <v>6</v>
      </c>
      <c r="L16" s="221" t="s">
        <v>407</v>
      </c>
      <c r="M16" s="221">
        <f>[16]pil!$H$554</f>
        <v>13.101000000000001</v>
      </c>
    </row>
    <row r="17" spans="1:18" x14ac:dyDescent="0.25">
      <c r="A17" s="221">
        <v>2</v>
      </c>
      <c r="B17" s="221">
        <v>23</v>
      </c>
      <c r="C17" s="221"/>
      <c r="D17" s="221">
        <v>5</v>
      </c>
      <c r="E17" s="221" t="s">
        <v>407</v>
      </c>
      <c r="F17" s="221">
        <f>[16]pil!$H$126</f>
        <v>124.126</v>
      </c>
      <c r="H17" s="221">
        <v>7</v>
      </c>
      <c r="I17" s="221">
        <v>12</v>
      </c>
      <c r="J17" s="221"/>
      <c r="K17" s="221">
        <v>5</v>
      </c>
      <c r="L17" s="221" t="s">
        <v>407</v>
      </c>
      <c r="M17" s="221">
        <f>[16]pil!$H$558</f>
        <v>11.856999999999999</v>
      </c>
    </row>
    <row r="18" spans="1:18" x14ac:dyDescent="0.25">
      <c r="A18" s="221">
        <v>2</v>
      </c>
      <c r="B18" s="221">
        <v>23</v>
      </c>
      <c r="C18" s="221"/>
      <c r="D18" s="221">
        <v>4</v>
      </c>
      <c r="E18" s="221" t="s">
        <v>407</v>
      </c>
      <c r="F18" s="221">
        <f>[16]pil!$H$130</f>
        <v>185.61799999999999</v>
      </c>
      <c r="H18" s="221">
        <v>7</v>
      </c>
      <c r="I18" s="221">
        <v>12</v>
      </c>
      <c r="J18" s="221"/>
      <c r="K18" s="221">
        <v>4</v>
      </c>
      <c r="L18" s="221" t="s">
        <v>407</v>
      </c>
      <c r="M18" s="221">
        <f>[16]pil!$H$562</f>
        <v>13.085000000000001</v>
      </c>
    </row>
    <row r="19" spans="1:18" x14ac:dyDescent="0.25">
      <c r="A19" s="221">
        <v>2</v>
      </c>
      <c r="B19" s="221">
        <v>23</v>
      </c>
      <c r="C19" s="221"/>
      <c r="D19" s="221">
        <v>3</v>
      </c>
      <c r="E19" s="221" t="s">
        <v>407</v>
      </c>
      <c r="F19" s="221">
        <f>[16]pil!$H$134</f>
        <v>204.60499999999999</v>
      </c>
      <c r="H19" s="221">
        <v>7</v>
      </c>
      <c r="I19" s="221">
        <v>12</v>
      </c>
      <c r="J19" s="221"/>
      <c r="K19" s="221">
        <v>3</v>
      </c>
      <c r="L19" s="221" t="s">
        <v>407</v>
      </c>
      <c r="M19" s="221">
        <f>[16]pil!$H$566</f>
        <v>14.521000000000001</v>
      </c>
    </row>
    <row r="20" spans="1:18" x14ac:dyDescent="0.25">
      <c r="A20" s="221">
        <v>2</v>
      </c>
      <c r="B20" s="221">
        <v>23</v>
      </c>
      <c r="C20" s="221"/>
      <c r="D20" s="221">
        <v>2</v>
      </c>
      <c r="E20" s="221" t="s">
        <v>407</v>
      </c>
      <c r="F20" s="221">
        <f>[16]pil!$H$138</f>
        <v>214.304</v>
      </c>
      <c r="H20" s="221">
        <v>7</v>
      </c>
      <c r="I20" s="221">
        <v>12</v>
      </c>
      <c r="J20" s="221"/>
      <c r="K20" s="221">
        <v>2</v>
      </c>
      <c r="L20" s="221" t="s">
        <v>407</v>
      </c>
      <c r="M20" s="221">
        <f>[16]pil!$H$570</f>
        <v>14.417999999999999</v>
      </c>
    </row>
    <row r="21" spans="1:18" x14ac:dyDescent="0.25">
      <c r="A21" s="221">
        <v>2</v>
      </c>
      <c r="B21" s="221">
        <v>23</v>
      </c>
      <c r="C21" s="221"/>
      <c r="D21" s="221">
        <v>1</v>
      </c>
      <c r="E21" s="221" t="s">
        <v>407</v>
      </c>
      <c r="F21" s="221">
        <f>[16]pil!$H$142</f>
        <v>155.91900000000001</v>
      </c>
      <c r="H21" s="221">
        <v>7</v>
      </c>
      <c r="I21" s="221">
        <v>12</v>
      </c>
      <c r="J21" s="221"/>
      <c r="K21" s="221">
        <v>1</v>
      </c>
      <c r="L21" s="221" t="s">
        <v>407</v>
      </c>
      <c r="M21" s="221">
        <f>[16]pil!$H$574</f>
        <v>10.593</v>
      </c>
    </row>
    <row r="22" spans="1:18" x14ac:dyDescent="0.25">
      <c r="A22" s="221">
        <v>2</v>
      </c>
      <c r="B22" s="221">
        <v>27</v>
      </c>
      <c r="C22" s="221"/>
      <c r="D22" s="221">
        <v>6</v>
      </c>
      <c r="E22" s="221" t="s">
        <v>407</v>
      </c>
      <c r="F22" s="221">
        <f>[16]pil!$H$146</f>
        <v>54.966999999999999</v>
      </c>
    </row>
    <row r="23" spans="1:18" x14ac:dyDescent="0.25">
      <c r="A23" s="221">
        <v>2</v>
      </c>
      <c r="B23" s="221">
        <v>27</v>
      </c>
      <c r="C23" s="221"/>
      <c r="D23" s="221">
        <v>5</v>
      </c>
      <c r="E23" s="221" t="s">
        <v>407</v>
      </c>
      <c r="F23" s="221">
        <f>[16]pil!$H$150</f>
        <v>74.661000000000001</v>
      </c>
    </row>
    <row r="24" spans="1:18" x14ac:dyDescent="0.25">
      <c r="A24" s="221">
        <v>2</v>
      </c>
      <c r="B24" s="221">
        <v>27</v>
      </c>
      <c r="C24" s="221"/>
      <c r="D24" s="221">
        <v>4</v>
      </c>
      <c r="E24" s="221" t="s">
        <v>407</v>
      </c>
      <c r="F24" s="221">
        <f>[16]pil!$H$154</f>
        <v>103.26600000000001</v>
      </c>
    </row>
    <row r="25" spans="1:18" x14ac:dyDescent="0.25">
      <c r="A25" s="221">
        <v>2</v>
      </c>
      <c r="B25" s="221">
        <v>27</v>
      </c>
      <c r="C25" s="221"/>
      <c r="D25" s="221">
        <v>3</v>
      </c>
      <c r="E25" s="221" t="s">
        <v>407</v>
      </c>
      <c r="F25" s="221">
        <f>[16]pil!$H$158</f>
        <v>117.39400000000001</v>
      </c>
    </row>
    <row r="26" spans="1:18" x14ac:dyDescent="0.25">
      <c r="A26" s="221">
        <v>2</v>
      </c>
      <c r="B26" s="221">
        <v>27</v>
      </c>
      <c r="C26" s="221"/>
      <c r="D26" s="221">
        <v>2</v>
      </c>
      <c r="E26" s="221" t="s">
        <v>407</v>
      </c>
      <c r="F26" s="221">
        <f>[16]pil!$H$162</f>
        <v>118.559</v>
      </c>
    </row>
    <row r="27" spans="1:18" x14ac:dyDescent="0.25">
      <c r="A27" s="221">
        <v>2</v>
      </c>
      <c r="B27" s="221">
        <v>27</v>
      </c>
      <c r="C27" s="221"/>
      <c r="D27" s="221">
        <v>1</v>
      </c>
      <c r="E27" s="221" t="s">
        <v>407</v>
      </c>
      <c r="F27" s="221">
        <f>[16]pil!$H$166</f>
        <v>94.155000000000001</v>
      </c>
    </row>
    <row r="29" spans="1:18" x14ac:dyDescent="0.25">
      <c r="A29" s="218" t="s">
        <v>417</v>
      </c>
    </row>
    <row r="30" spans="1:18" x14ac:dyDescent="0.25">
      <c r="A30" s="218" t="s">
        <v>404</v>
      </c>
      <c r="B30" s="218" t="s">
        <v>413</v>
      </c>
      <c r="C30" s="218" t="s">
        <v>414</v>
      </c>
      <c r="D30" s="218" t="s">
        <v>406</v>
      </c>
      <c r="F30" s="218" t="str">
        <f>[16]tra!$H$1</f>
        <v>Fx</v>
      </c>
      <c r="I30" s="218" t="s">
        <v>418</v>
      </c>
      <c r="K30" s="218" t="s">
        <v>404</v>
      </c>
      <c r="L30" s="218" t="s">
        <v>413</v>
      </c>
      <c r="M30" s="218" t="s">
        <v>414</v>
      </c>
      <c r="N30" s="218" t="s">
        <v>406</v>
      </c>
      <c r="P30" s="218" t="str">
        <f>[16]tra!$H$1</f>
        <v>Fx</v>
      </c>
      <c r="R30" s="117" t="s">
        <v>409</v>
      </c>
    </row>
    <row r="31" spans="1:18" x14ac:dyDescent="0.25">
      <c r="A31" s="218">
        <v>2</v>
      </c>
      <c r="B31" s="218">
        <v>15</v>
      </c>
      <c r="C31" s="218">
        <v>19</v>
      </c>
      <c r="D31" s="218">
        <v>6</v>
      </c>
      <c r="E31" s="218" t="s">
        <v>415</v>
      </c>
      <c r="F31" s="218">
        <f>[16]tra!H50</f>
        <v>54.871000000000002</v>
      </c>
      <c r="G31" s="218">
        <v>6</v>
      </c>
      <c r="H31" s="218">
        <f>MAX(ABS(F31:F32))</f>
        <v>54.871000000000002</v>
      </c>
      <c r="I31" s="218">
        <f>MAX(H31,H43,H55)</f>
        <v>60.393999999999998</v>
      </c>
      <c r="K31" s="218">
        <v>7</v>
      </c>
      <c r="L31" s="218">
        <v>4</v>
      </c>
      <c r="M31" s="218">
        <v>8</v>
      </c>
      <c r="N31" s="218">
        <v>6</v>
      </c>
      <c r="O31" s="218" t="s">
        <v>415</v>
      </c>
      <c r="P31" s="218">
        <f>[16]tra!H362</f>
        <v>55.433</v>
      </c>
      <c r="Q31" s="218">
        <v>6</v>
      </c>
      <c r="R31" s="223">
        <f>MAX(ABS($P$31:$P$32))</f>
        <v>55.433</v>
      </c>
    </row>
    <row r="32" spans="1:18" x14ac:dyDescent="0.25">
      <c r="A32" s="218">
        <v>2</v>
      </c>
      <c r="B32" s="218">
        <v>15</v>
      </c>
      <c r="C32" s="218">
        <v>19</v>
      </c>
      <c r="D32" s="218">
        <v>6</v>
      </c>
      <c r="E32" s="218" t="s">
        <v>416</v>
      </c>
      <c r="F32" s="218">
        <f>[16]tra!H51</f>
        <v>-48.92</v>
      </c>
      <c r="I32" s="218">
        <f>MAX(H33,H45,H57)</f>
        <v>96.897000000000006</v>
      </c>
      <c r="K32" s="218">
        <v>7</v>
      </c>
      <c r="L32" s="218">
        <v>4</v>
      </c>
      <c r="M32" s="218">
        <v>8</v>
      </c>
      <c r="N32" s="218">
        <v>6</v>
      </c>
      <c r="O32" s="218" t="s">
        <v>416</v>
      </c>
      <c r="P32" s="218">
        <f>[16]tra!H363</f>
        <v>-54.087000000000003</v>
      </c>
      <c r="R32" s="223"/>
    </row>
    <row r="33" spans="1:18" x14ac:dyDescent="0.25">
      <c r="A33" s="218">
        <v>2</v>
      </c>
      <c r="B33" s="218">
        <v>15</v>
      </c>
      <c r="C33" s="218">
        <v>19</v>
      </c>
      <c r="D33" s="218">
        <v>5</v>
      </c>
      <c r="E33" s="218" t="s">
        <v>415</v>
      </c>
      <c r="F33" s="218">
        <f>[16]tra!H54</f>
        <v>89.531000000000006</v>
      </c>
      <c r="G33" s="218">
        <v>5</v>
      </c>
      <c r="H33" s="218">
        <f>MAX(ABS(F33:F34))</f>
        <v>89.531000000000006</v>
      </c>
      <c r="I33" s="218">
        <f>MAX(H35,H47,H59)</f>
        <v>163.86</v>
      </c>
      <c r="K33" s="218">
        <v>7</v>
      </c>
      <c r="L33" s="218">
        <v>4</v>
      </c>
      <c r="M33" s="218">
        <v>8</v>
      </c>
      <c r="N33" s="218">
        <v>5</v>
      </c>
      <c r="O33" s="218" t="s">
        <v>415</v>
      </c>
      <c r="P33" s="218">
        <f>[16]tra!H366</f>
        <v>88.816000000000003</v>
      </c>
      <c r="Q33" s="218">
        <v>5</v>
      </c>
      <c r="R33" s="223">
        <f>MAX(ABS($P$33:$P$34))</f>
        <v>88.816000000000003</v>
      </c>
    </row>
    <row r="34" spans="1:18" x14ac:dyDescent="0.25">
      <c r="A34" s="218">
        <v>2</v>
      </c>
      <c r="B34" s="218">
        <v>15</v>
      </c>
      <c r="C34" s="218">
        <v>19</v>
      </c>
      <c r="D34" s="218">
        <v>5</v>
      </c>
      <c r="E34" s="218" t="s">
        <v>416</v>
      </c>
      <c r="F34" s="218">
        <f>[16]tra!H55</f>
        <v>-86.378</v>
      </c>
      <c r="I34" s="218">
        <f>MAX(H37,H49,H61)</f>
        <v>196.66900000000001</v>
      </c>
      <c r="K34" s="218">
        <v>7</v>
      </c>
      <c r="L34" s="218">
        <v>4</v>
      </c>
      <c r="M34" s="218">
        <v>8</v>
      </c>
      <c r="N34" s="218">
        <v>5</v>
      </c>
      <c r="O34" s="218" t="s">
        <v>416</v>
      </c>
      <c r="P34" s="218">
        <f>[16]tra!H367</f>
        <v>-88.05</v>
      </c>
      <c r="R34" s="223"/>
    </row>
    <row r="35" spans="1:18" x14ac:dyDescent="0.25">
      <c r="A35" s="218">
        <v>2</v>
      </c>
      <c r="B35" s="218">
        <v>15</v>
      </c>
      <c r="C35" s="218">
        <v>19</v>
      </c>
      <c r="D35" s="218">
        <v>4</v>
      </c>
      <c r="E35" s="218" t="s">
        <v>415</v>
      </c>
      <c r="F35" s="218">
        <f>[16]tra!H58</f>
        <v>163.86</v>
      </c>
      <c r="G35" s="218">
        <v>4</v>
      </c>
      <c r="H35" s="218">
        <f>MAX(ABS(F35:F36))</f>
        <v>163.86</v>
      </c>
      <c r="I35" s="218">
        <f>MAX(H39,H51,H63)</f>
        <v>220.767</v>
      </c>
      <c r="K35" s="218">
        <v>7</v>
      </c>
      <c r="L35" s="218">
        <v>4</v>
      </c>
      <c r="M35" s="218">
        <v>8</v>
      </c>
      <c r="N35" s="218">
        <v>4</v>
      </c>
      <c r="O35" s="218" t="s">
        <v>415</v>
      </c>
      <c r="P35" s="218">
        <f>[16]tra!H370</f>
        <v>171.23099999999999</v>
      </c>
      <c r="Q35" s="218">
        <v>4</v>
      </c>
      <c r="R35" s="223">
        <f>MAX(ABS($P$35:$P$36))</f>
        <v>171.23099999999999</v>
      </c>
    </row>
    <row r="36" spans="1:18" x14ac:dyDescent="0.25">
      <c r="A36" s="218">
        <v>2</v>
      </c>
      <c r="B36" s="218">
        <v>15</v>
      </c>
      <c r="C36" s="218">
        <v>19</v>
      </c>
      <c r="D36" s="218">
        <v>4</v>
      </c>
      <c r="E36" s="218" t="s">
        <v>416</v>
      </c>
      <c r="F36" s="218">
        <f>[16]tra!H59</f>
        <v>-150.845</v>
      </c>
      <c r="I36" s="218">
        <f>MAX(H41,H53,H65)</f>
        <v>217.64099999999999</v>
      </c>
      <c r="K36" s="218">
        <v>7</v>
      </c>
      <c r="L36" s="218">
        <v>4</v>
      </c>
      <c r="M36" s="218">
        <v>8</v>
      </c>
      <c r="N36" s="218">
        <v>4</v>
      </c>
      <c r="O36" s="218" t="s">
        <v>416</v>
      </c>
      <c r="P36" s="218">
        <f>[16]tra!H371</f>
        <v>-169.56700000000001</v>
      </c>
      <c r="R36" s="223"/>
    </row>
    <row r="37" spans="1:18" x14ac:dyDescent="0.25">
      <c r="A37" s="218">
        <v>2</v>
      </c>
      <c r="B37" s="218">
        <v>15</v>
      </c>
      <c r="C37" s="218">
        <v>19</v>
      </c>
      <c r="D37" s="218">
        <v>3</v>
      </c>
      <c r="E37" s="218" t="s">
        <v>415</v>
      </c>
      <c r="F37" s="218">
        <f>[16]tra!H62</f>
        <v>196.66900000000001</v>
      </c>
      <c r="G37" s="218">
        <v>3</v>
      </c>
      <c r="H37" s="218">
        <f>MAX(ABS(F37:F38))</f>
        <v>196.66900000000001</v>
      </c>
      <c r="K37" s="218">
        <v>7</v>
      </c>
      <c r="L37" s="218">
        <v>4</v>
      </c>
      <c r="M37" s="218">
        <v>8</v>
      </c>
      <c r="N37" s="218">
        <v>3</v>
      </c>
      <c r="O37" s="218" t="s">
        <v>415</v>
      </c>
      <c r="P37" s="218">
        <f>[16]tra!H374</f>
        <v>207.56299999999999</v>
      </c>
      <c r="Q37" s="218">
        <v>3</v>
      </c>
      <c r="R37" s="223">
        <f>MAX(ABS($P$37:$P$38))</f>
        <v>207.56299999999999</v>
      </c>
    </row>
    <row r="38" spans="1:18" x14ac:dyDescent="0.25">
      <c r="A38" s="218">
        <v>2</v>
      </c>
      <c r="B38" s="218">
        <v>15</v>
      </c>
      <c r="C38" s="218">
        <v>19</v>
      </c>
      <c r="D38" s="218">
        <v>3</v>
      </c>
      <c r="E38" s="218" t="s">
        <v>416</v>
      </c>
      <c r="F38" s="218">
        <f>[16]tra!H63</f>
        <v>-182.84800000000001</v>
      </c>
      <c r="K38" s="218">
        <v>7</v>
      </c>
      <c r="L38" s="218">
        <v>4</v>
      </c>
      <c r="M38" s="218">
        <v>8</v>
      </c>
      <c r="N38" s="218">
        <v>3</v>
      </c>
      <c r="O38" s="218" t="s">
        <v>416</v>
      </c>
      <c r="P38" s="218">
        <f>[16]tra!H375</f>
        <v>-205.68700000000001</v>
      </c>
      <c r="R38" s="223"/>
    </row>
    <row r="39" spans="1:18" x14ac:dyDescent="0.25">
      <c r="A39" s="218">
        <v>2</v>
      </c>
      <c r="B39" s="218">
        <v>15</v>
      </c>
      <c r="C39" s="218">
        <v>19</v>
      </c>
      <c r="D39" s="218">
        <v>2</v>
      </c>
      <c r="E39" s="218" t="s">
        <v>415</v>
      </c>
      <c r="F39" s="218">
        <f>[16]tra!H66</f>
        <v>220.767</v>
      </c>
      <c r="G39" s="218">
        <v>2</v>
      </c>
      <c r="H39" s="218">
        <f>MAX(ABS(F39:F40))</f>
        <v>220.767</v>
      </c>
      <c r="K39" s="218">
        <v>7</v>
      </c>
      <c r="L39" s="218">
        <v>4</v>
      </c>
      <c r="M39" s="218">
        <v>8</v>
      </c>
      <c r="N39" s="218">
        <v>2</v>
      </c>
      <c r="O39" s="218" t="s">
        <v>415</v>
      </c>
      <c r="P39" s="218">
        <f>[16]tra!H378</f>
        <v>235.52099999999999</v>
      </c>
      <c r="Q39" s="218">
        <v>2</v>
      </c>
      <c r="R39" s="223">
        <f>MAX(ABS($P$39:$P$40))</f>
        <v>235.52099999999999</v>
      </c>
    </row>
    <row r="40" spans="1:18" x14ac:dyDescent="0.25">
      <c r="A40" s="218">
        <v>2</v>
      </c>
      <c r="B40" s="218">
        <v>15</v>
      </c>
      <c r="C40" s="218">
        <v>19</v>
      </c>
      <c r="D40" s="218">
        <v>2</v>
      </c>
      <c r="E40" s="218" t="s">
        <v>416</v>
      </c>
      <c r="F40" s="218">
        <f>[16]tra!H67</f>
        <v>-206.274</v>
      </c>
      <c r="K40" s="218">
        <v>7</v>
      </c>
      <c r="L40" s="218">
        <v>4</v>
      </c>
      <c r="M40" s="218">
        <v>8</v>
      </c>
      <c r="N40" s="218">
        <v>2</v>
      </c>
      <c r="O40" s="218" t="s">
        <v>416</v>
      </c>
      <c r="P40" s="218">
        <f>[16]tra!H379</f>
        <v>-233.63300000000001</v>
      </c>
      <c r="R40" s="223"/>
    </row>
    <row r="41" spans="1:18" x14ac:dyDescent="0.25">
      <c r="A41" s="218">
        <v>2</v>
      </c>
      <c r="B41" s="218">
        <v>15</v>
      </c>
      <c r="C41" s="218">
        <v>19</v>
      </c>
      <c r="D41" s="218">
        <v>1</v>
      </c>
      <c r="E41" s="218" t="s">
        <v>415</v>
      </c>
      <c r="F41" s="218">
        <f>[16]tra!H70</f>
        <v>217.64099999999999</v>
      </c>
      <c r="G41" s="218">
        <v>1</v>
      </c>
      <c r="H41" s="218">
        <f>MAX(ABS(F41:F42))</f>
        <v>217.64099999999999</v>
      </c>
      <c r="K41" s="218">
        <v>7</v>
      </c>
      <c r="L41" s="218">
        <v>4</v>
      </c>
      <c r="M41" s="218">
        <v>8</v>
      </c>
      <c r="N41" s="218">
        <v>1</v>
      </c>
      <c r="O41" s="218" t="s">
        <v>415</v>
      </c>
      <c r="P41" s="218">
        <f>[16]tra!H382</f>
        <v>236.48</v>
      </c>
      <c r="Q41" s="218">
        <v>1</v>
      </c>
      <c r="R41" s="224">
        <f>MAX(ABS($P$41:$P$42))</f>
        <v>236.48</v>
      </c>
    </row>
    <row r="42" spans="1:18" x14ac:dyDescent="0.25">
      <c r="A42" s="218">
        <v>2</v>
      </c>
      <c r="B42" s="218">
        <v>15</v>
      </c>
      <c r="C42" s="218">
        <v>19</v>
      </c>
      <c r="D42" s="218">
        <v>1</v>
      </c>
      <c r="E42" s="218" t="s">
        <v>416</v>
      </c>
      <c r="F42" s="218">
        <f>[16]tra!H71</f>
        <v>-200.369</v>
      </c>
      <c r="K42" s="218">
        <v>7</v>
      </c>
      <c r="L42" s="218">
        <v>4</v>
      </c>
      <c r="M42" s="218">
        <v>8</v>
      </c>
      <c r="N42" s="218">
        <v>1</v>
      </c>
      <c r="O42" s="218" t="s">
        <v>416</v>
      </c>
      <c r="P42" s="218">
        <f>[16]tra!H383</f>
        <v>-234.11699999999999</v>
      </c>
    </row>
    <row r="43" spans="1:18" x14ac:dyDescent="0.25">
      <c r="A43" s="218">
        <v>2</v>
      </c>
      <c r="B43" s="218">
        <v>19</v>
      </c>
      <c r="C43" s="218">
        <v>23</v>
      </c>
      <c r="D43" s="218">
        <v>6</v>
      </c>
      <c r="E43" s="218" t="s">
        <v>415</v>
      </c>
      <c r="F43" s="218">
        <f>[16]tra!H74</f>
        <v>60.393999999999998</v>
      </c>
      <c r="G43" s="218">
        <v>6</v>
      </c>
      <c r="H43" s="218">
        <f>MAX(ABS(F43:F44))</f>
        <v>60.393999999999998</v>
      </c>
      <c r="K43" s="218">
        <v>7</v>
      </c>
      <c r="L43" s="218">
        <v>8</v>
      </c>
      <c r="M43" s="218">
        <v>12</v>
      </c>
      <c r="N43" s="218">
        <v>6</v>
      </c>
      <c r="O43" s="218" t="s">
        <v>415</v>
      </c>
      <c r="P43" s="218">
        <f>[16]tra!H386</f>
        <v>14.8</v>
      </c>
      <c r="R43" s="218">
        <f>MAX(ABS(P43:P44))</f>
        <v>14.8</v>
      </c>
    </row>
    <row r="44" spans="1:18" x14ac:dyDescent="0.25">
      <c r="A44" s="218">
        <v>2</v>
      </c>
      <c r="B44" s="218">
        <v>19</v>
      </c>
      <c r="C44" s="218">
        <v>23</v>
      </c>
      <c r="D44" s="218">
        <v>6</v>
      </c>
      <c r="E44" s="218" t="s">
        <v>416</v>
      </c>
      <c r="F44" s="218">
        <f>[16]tra!H75</f>
        <v>-60.368000000000002</v>
      </c>
      <c r="K44" s="218">
        <v>7</v>
      </c>
      <c r="L44" s="218">
        <v>8</v>
      </c>
      <c r="M44" s="218">
        <v>12</v>
      </c>
      <c r="N44" s="218">
        <v>6</v>
      </c>
      <c r="O44" s="218" t="s">
        <v>416</v>
      </c>
      <c r="P44" s="218">
        <f>[16]tra!H387</f>
        <v>-13.101000000000001</v>
      </c>
    </row>
    <row r="45" spans="1:18" x14ac:dyDescent="0.25">
      <c r="A45" s="218">
        <v>2</v>
      </c>
      <c r="B45" s="218">
        <v>19</v>
      </c>
      <c r="C45" s="218">
        <v>23</v>
      </c>
      <c r="D45" s="218">
        <v>5</v>
      </c>
      <c r="E45" s="218" t="s">
        <v>415</v>
      </c>
      <c r="F45" s="218">
        <f>[16]tra!H78</f>
        <v>96.897000000000006</v>
      </c>
      <c r="G45" s="218">
        <v>5</v>
      </c>
      <c r="H45" s="218">
        <f>MAX(ABS(F45:F46))</f>
        <v>96.897000000000006</v>
      </c>
      <c r="K45" s="218">
        <v>7</v>
      </c>
      <c r="L45" s="218">
        <v>8</v>
      </c>
      <c r="M45" s="218">
        <v>12</v>
      </c>
      <c r="N45" s="218">
        <v>5</v>
      </c>
      <c r="O45" s="218" t="s">
        <v>415</v>
      </c>
      <c r="P45" s="218">
        <f>[16]tra!H390</f>
        <v>21.521000000000001</v>
      </c>
      <c r="R45" s="218">
        <f>MAX(ABS(P45:P46))</f>
        <v>21.521000000000001</v>
      </c>
    </row>
    <row r="46" spans="1:18" x14ac:dyDescent="0.25">
      <c r="A46" s="218">
        <v>2</v>
      </c>
      <c r="B46" s="218">
        <v>19</v>
      </c>
      <c r="C46" s="218">
        <v>23</v>
      </c>
      <c r="D46" s="218">
        <v>5</v>
      </c>
      <c r="E46" s="218" t="s">
        <v>416</v>
      </c>
      <c r="F46" s="218">
        <f>[16]tra!H79</f>
        <v>-96.91</v>
      </c>
      <c r="K46" s="218">
        <v>7</v>
      </c>
      <c r="L46" s="218">
        <v>8</v>
      </c>
      <c r="M46" s="218">
        <v>12</v>
      </c>
      <c r="N46" s="218">
        <v>5</v>
      </c>
      <c r="O46" s="218" t="s">
        <v>416</v>
      </c>
      <c r="P46" s="218">
        <f>[16]tra!H391</f>
        <v>-20.381</v>
      </c>
    </row>
    <row r="47" spans="1:18" x14ac:dyDescent="0.25">
      <c r="A47" s="218">
        <v>2</v>
      </c>
      <c r="B47" s="218">
        <v>19</v>
      </c>
      <c r="C47" s="218">
        <v>23</v>
      </c>
      <c r="D47" s="218">
        <v>4</v>
      </c>
      <c r="E47" s="218" t="s">
        <v>415</v>
      </c>
      <c r="F47" s="218">
        <f>[16]tra!H82</f>
        <v>161.13499999999999</v>
      </c>
      <c r="G47" s="218">
        <v>4</v>
      </c>
      <c r="H47" s="218">
        <f>MAX(ABS(F47:F48))</f>
        <v>161.13499999999999</v>
      </c>
      <c r="K47" s="218">
        <v>7</v>
      </c>
      <c r="L47" s="218">
        <v>8</v>
      </c>
      <c r="M47" s="218">
        <v>12</v>
      </c>
      <c r="N47" s="218">
        <v>4</v>
      </c>
      <c r="O47" s="218" t="s">
        <v>415</v>
      </c>
      <c r="P47" s="218">
        <f>[16]tra!H394</f>
        <v>23.597999999999999</v>
      </c>
      <c r="R47" s="218">
        <f>MAX(ABS(P47:P48))</f>
        <v>23.597999999999999</v>
      </c>
    </row>
    <row r="48" spans="1:18" x14ac:dyDescent="0.25">
      <c r="A48" s="218">
        <v>2</v>
      </c>
      <c r="B48" s="218">
        <v>19</v>
      </c>
      <c r="C48" s="218">
        <v>23</v>
      </c>
      <c r="D48" s="218">
        <v>4</v>
      </c>
      <c r="E48" s="218" t="s">
        <v>416</v>
      </c>
      <c r="F48" s="218">
        <f>[16]tra!H83</f>
        <v>-161.15100000000001</v>
      </c>
      <c r="K48" s="218">
        <v>7</v>
      </c>
      <c r="L48" s="218">
        <v>8</v>
      </c>
      <c r="M48" s="218">
        <v>12</v>
      </c>
      <c r="N48" s="218">
        <v>4</v>
      </c>
      <c r="O48" s="218" t="s">
        <v>416</v>
      </c>
      <c r="P48" s="218">
        <f>[16]tra!H395</f>
        <v>-22.934999999999999</v>
      </c>
    </row>
    <row r="49" spans="1:18" x14ac:dyDescent="0.25">
      <c r="A49" s="218">
        <v>2</v>
      </c>
      <c r="B49" s="218">
        <v>19</v>
      </c>
      <c r="C49" s="218">
        <v>23</v>
      </c>
      <c r="D49" s="218">
        <v>3</v>
      </c>
      <c r="E49" s="218" t="s">
        <v>415</v>
      </c>
      <c r="F49" s="218">
        <f>[16]tra!H86</f>
        <v>185.73500000000001</v>
      </c>
      <c r="G49" s="218">
        <v>3</v>
      </c>
      <c r="H49" s="218">
        <f>MAX(ABS(F49:F50))</f>
        <v>185.73500000000001</v>
      </c>
      <c r="K49" s="218">
        <v>7</v>
      </c>
      <c r="L49" s="218">
        <v>8</v>
      </c>
      <c r="M49" s="218">
        <v>12</v>
      </c>
      <c r="N49" s="218">
        <v>3</v>
      </c>
      <c r="O49" s="218" t="s">
        <v>415</v>
      </c>
      <c r="P49" s="218">
        <f>[16]tra!H398</f>
        <v>26.483000000000001</v>
      </c>
      <c r="R49" s="218">
        <f>MAX(ABS(P49:P50))</f>
        <v>26.483000000000001</v>
      </c>
    </row>
    <row r="50" spans="1:18" x14ac:dyDescent="0.25">
      <c r="A50" s="218">
        <v>2</v>
      </c>
      <c r="B50" s="218">
        <v>19</v>
      </c>
      <c r="C50" s="218">
        <v>23</v>
      </c>
      <c r="D50" s="218">
        <v>3</v>
      </c>
      <c r="E50" s="218" t="s">
        <v>416</v>
      </c>
      <c r="F50" s="218">
        <f>[16]tra!H87</f>
        <v>-185.786</v>
      </c>
      <c r="K50" s="218">
        <v>7</v>
      </c>
      <c r="L50" s="218">
        <v>8</v>
      </c>
      <c r="M50" s="218">
        <v>12</v>
      </c>
      <c r="N50" s="218">
        <v>3</v>
      </c>
      <c r="O50" s="218" t="s">
        <v>416</v>
      </c>
      <c r="P50" s="218">
        <f>[16]tra!H399</f>
        <v>-25.721</v>
      </c>
    </row>
    <row r="51" spans="1:18" x14ac:dyDescent="0.25">
      <c r="A51" s="218">
        <v>2</v>
      </c>
      <c r="B51" s="218">
        <v>19</v>
      </c>
      <c r="C51" s="218">
        <v>23</v>
      </c>
      <c r="D51" s="218">
        <v>2</v>
      </c>
      <c r="E51" s="218" t="s">
        <v>415</v>
      </c>
      <c r="F51" s="218">
        <f>[16]tra!H90</f>
        <v>199.524</v>
      </c>
      <c r="G51" s="218">
        <v>2</v>
      </c>
      <c r="H51" s="218">
        <f>MAX(ABS(F51:F52))</f>
        <v>199.524</v>
      </c>
      <c r="K51" s="218">
        <v>7</v>
      </c>
      <c r="L51" s="218">
        <v>8</v>
      </c>
      <c r="M51" s="218">
        <v>12</v>
      </c>
      <c r="N51" s="218">
        <v>2</v>
      </c>
      <c r="O51" s="218" t="s">
        <v>415</v>
      </c>
      <c r="P51" s="218">
        <f>[16]tra!H402</f>
        <v>28.134</v>
      </c>
      <c r="R51" s="218">
        <f>MAX(ABS(P51:P52))</f>
        <v>28.134</v>
      </c>
    </row>
    <row r="52" spans="1:18" x14ac:dyDescent="0.25">
      <c r="A52" s="218">
        <v>2</v>
      </c>
      <c r="B52" s="218">
        <v>19</v>
      </c>
      <c r="C52" s="218">
        <v>23</v>
      </c>
      <c r="D52" s="218">
        <v>2</v>
      </c>
      <c r="E52" s="218" t="s">
        <v>416</v>
      </c>
      <c r="F52" s="218">
        <f>[16]tra!H91</f>
        <v>-199.601</v>
      </c>
      <c r="K52" s="218">
        <v>7</v>
      </c>
      <c r="L52" s="218">
        <v>8</v>
      </c>
      <c r="M52" s="218">
        <v>12</v>
      </c>
      <c r="N52" s="218">
        <v>2</v>
      </c>
      <c r="O52" s="218" t="s">
        <v>416</v>
      </c>
      <c r="P52" s="218">
        <f>[16]tra!H403</f>
        <v>-27.471</v>
      </c>
    </row>
    <row r="53" spans="1:18" x14ac:dyDescent="0.25">
      <c r="A53" s="218">
        <v>2</v>
      </c>
      <c r="B53" s="218">
        <v>19</v>
      </c>
      <c r="C53" s="218">
        <v>23</v>
      </c>
      <c r="D53" s="218">
        <v>1</v>
      </c>
      <c r="E53" s="218" t="s">
        <v>415</v>
      </c>
      <c r="F53" s="218">
        <f>[16]tra!H94</f>
        <v>181.477</v>
      </c>
      <c r="G53" s="218">
        <v>1</v>
      </c>
      <c r="H53" s="218">
        <f>MAX(ABS(F53:F54))</f>
        <v>181.477</v>
      </c>
      <c r="K53" s="218">
        <v>7</v>
      </c>
      <c r="L53" s="218">
        <v>8</v>
      </c>
      <c r="M53" s="218">
        <v>12</v>
      </c>
      <c r="N53" s="218">
        <v>1</v>
      </c>
      <c r="O53" s="218" t="s">
        <v>415</v>
      </c>
      <c r="P53" s="218">
        <f>[16]tra!H406</f>
        <v>26.218</v>
      </c>
      <c r="R53" s="218">
        <f>MAX(ABS(P53:P54))</f>
        <v>26.218</v>
      </c>
    </row>
    <row r="54" spans="1:18" x14ac:dyDescent="0.25">
      <c r="A54" s="218">
        <v>2</v>
      </c>
      <c r="B54" s="218">
        <v>19</v>
      </c>
      <c r="C54" s="218">
        <v>23</v>
      </c>
      <c r="D54" s="218">
        <v>1</v>
      </c>
      <c r="E54" s="218" t="s">
        <v>416</v>
      </c>
      <c r="F54" s="218">
        <f>[16]tra!H95</f>
        <v>-181.59800000000001</v>
      </c>
      <c r="K54" s="218">
        <v>7</v>
      </c>
      <c r="L54" s="218">
        <v>8</v>
      </c>
      <c r="M54" s="218">
        <v>12</v>
      </c>
      <c r="N54" s="218">
        <v>1</v>
      </c>
      <c r="O54" s="218" t="s">
        <v>416</v>
      </c>
      <c r="P54" s="218">
        <f>[16]tra!H407</f>
        <v>-25.591000000000001</v>
      </c>
    </row>
    <row r="55" spans="1:18" x14ac:dyDescent="0.25">
      <c r="A55" s="218">
        <v>2</v>
      </c>
      <c r="B55" s="218">
        <v>23</v>
      </c>
      <c r="C55" s="218">
        <v>27</v>
      </c>
      <c r="D55" s="218">
        <v>6</v>
      </c>
      <c r="E55" s="218" t="s">
        <v>415</v>
      </c>
      <c r="F55" s="218">
        <f>[16]tra!H98</f>
        <v>49.078000000000003</v>
      </c>
      <c r="G55" s="218">
        <v>6</v>
      </c>
      <c r="H55" s="218">
        <f>MAX(ABS(F55:F56))</f>
        <v>49.078000000000003</v>
      </c>
    </row>
    <row r="56" spans="1:18" x14ac:dyDescent="0.25">
      <c r="A56" s="218">
        <v>2</v>
      </c>
      <c r="B56" s="218">
        <v>23</v>
      </c>
      <c r="C56" s="218">
        <v>27</v>
      </c>
      <c r="D56" s="218">
        <v>6</v>
      </c>
      <c r="E56" s="218" t="s">
        <v>416</v>
      </c>
      <c r="F56" s="218">
        <f>[16]tra!H99</f>
        <v>-54.966999999999999</v>
      </c>
    </row>
    <row r="57" spans="1:18" x14ac:dyDescent="0.25">
      <c r="A57" s="218">
        <v>2</v>
      </c>
      <c r="B57" s="218">
        <v>23</v>
      </c>
      <c r="C57" s="218">
        <v>27</v>
      </c>
      <c r="D57" s="218">
        <v>5</v>
      </c>
      <c r="E57" s="218" t="s">
        <v>415</v>
      </c>
      <c r="F57" s="218">
        <f>[16]tra!H102</f>
        <v>86.221000000000004</v>
      </c>
      <c r="G57" s="218">
        <v>5</v>
      </c>
      <c r="H57" s="218">
        <f>MAX(ABS(F57:F58))</f>
        <v>86.221000000000004</v>
      </c>
    </row>
    <row r="58" spans="1:18" x14ac:dyDescent="0.25">
      <c r="A58" s="218">
        <v>2</v>
      </c>
      <c r="B58" s="218">
        <v>23</v>
      </c>
      <c r="C58" s="218">
        <v>27</v>
      </c>
      <c r="D58" s="218">
        <v>5</v>
      </c>
      <c r="E58" s="218" t="s">
        <v>416</v>
      </c>
      <c r="F58" s="218">
        <f>[16]tra!H103</f>
        <v>-89.337999999999994</v>
      </c>
    </row>
    <row r="59" spans="1:18" x14ac:dyDescent="0.25">
      <c r="A59" s="218">
        <v>2</v>
      </c>
      <c r="B59" s="218">
        <v>23</v>
      </c>
      <c r="C59" s="218">
        <v>27</v>
      </c>
      <c r="D59" s="218">
        <v>4</v>
      </c>
      <c r="E59" s="218" t="s">
        <v>415</v>
      </c>
      <c r="F59" s="218">
        <f>[16]tra!H106</f>
        <v>150.518</v>
      </c>
      <c r="G59" s="218">
        <v>4</v>
      </c>
      <c r="H59" s="218">
        <f>MAX(ABS(F59:F60))</f>
        <v>150.518</v>
      </c>
    </row>
    <row r="60" spans="1:18" x14ac:dyDescent="0.25">
      <c r="A60" s="218">
        <v>2</v>
      </c>
      <c r="B60" s="218">
        <v>23</v>
      </c>
      <c r="C60" s="218">
        <v>27</v>
      </c>
      <c r="D60" s="218">
        <v>4</v>
      </c>
      <c r="E60" s="218" t="s">
        <v>416</v>
      </c>
      <c r="F60" s="218">
        <f>[16]tra!H107</f>
        <v>-163.393</v>
      </c>
    </row>
    <row r="61" spans="1:18" x14ac:dyDescent="0.25">
      <c r="A61" s="218">
        <v>2</v>
      </c>
      <c r="B61" s="218">
        <v>23</v>
      </c>
      <c r="C61" s="218">
        <v>27</v>
      </c>
      <c r="D61" s="218">
        <v>3</v>
      </c>
      <c r="E61" s="218" t="s">
        <v>415</v>
      </c>
      <c r="F61" s="218">
        <f>[16]tra!H110</f>
        <v>182.12</v>
      </c>
      <c r="G61" s="218">
        <v>3</v>
      </c>
      <c r="H61" s="218">
        <f>MAX(ABS(F61:F62))</f>
        <v>182.12</v>
      </c>
    </row>
    <row r="62" spans="1:18" x14ac:dyDescent="0.25">
      <c r="A62" s="218">
        <v>2</v>
      </c>
      <c r="B62" s="218">
        <v>23</v>
      </c>
      <c r="C62" s="218">
        <v>27</v>
      </c>
      <c r="D62" s="218">
        <v>3</v>
      </c>
      <c r="E62" s="218" t="s">
        <v>416</v>
      </c>
      <c r="F62" s="218">
        <f>[16]tra!H111</f>
        <v>-195.79300000000001</v>
      </c>
    </row>
    <row r="63" spans="1:18" x14ac:dyDescent="0.25">
      <c r="A63" s="218">
        <v>2</v>
      </c>
      <c r="B63" s="218">
        <v>23</v>
      </c>
      <c r="C63" s="218">
        <v>27</v>
      </c>
      <c r="D63" s="218">
        <v>2</v>
      </c>
      <c r="E63" s="218" t="s">
        <v>415</v>
      </c>
      <c r="F63" s="218">
        <f>[16]tra!H114</f>
        <v>205.09399999999999</v>
      </c>
      <c r="G63" s="218">
        <v>2</v>
      </c>
      <c r="H63" s="218">
        <f>MAX(ABS(F63:F64))</f>
        <v>205.09399999999999</v>
      </c>
    </row>
    <row r="64" spans="1:18" x14ac:dyDescent="0.25">
      <c r="A64" s="218">
        <v>2</v>
      </c>
      <c r="B64" s="218">
        <v>23</v>
      </c>
      <c r="C64" s="218">
        <v>27</v>
      </c>
      <c r="D64" s="218">
        <v>2</v>
      </c>
      <c r="E64" s="218" t="s">
        <v>416</v>
      </c>
      <c r="F64" s="218">
        <f>[16]tra!H115</f>
        <v>-219.43299999999999</v>
      </c>
    </row>
    <row r="65" spans="1:8" x14ac:dyDescent="0.25">
      <c r="A65" s="218">
        <v>2</v>
      </c>
      <c r="B65" s="218">
        <v>23</v>
      </c>
      <c r="C65" s="218">
        <v>27</v>
      </c>
      <c r="D65" s="218">
        <v>1</v>
      </c>
      <c r="E65" s="218" t="s">
        <v>415</v>
      </c>
      <c r="F65" s="218">
        <f>[16]tra!H118</f>
        <v>199.03100000000001</v>
      </c>
      <c r="G65" s="218">
        <v>1</v>
      </c>
      <c r="H65" s="218">
        <f>MAX(ABS(F65:F66))</f>
        <v>199.03100000000001</v>
      </c>
    </row>
    <row r="66" spans="1:8" x14ac:dyDescent="0.25">
      <c r="A66" s="218">
        <v>2</v>
      </c>
      <c r="B66" s="218">
        <v>23</v>
      </c>
      <c r="C66" s="218">
        <v>27</v>
      </c>
      <c r="D66" s="218">
        <v>1</v>
      </c>
      <c r="E66" s="218" t="s">
        <v>416</v>
      </c>
      <c r="F66" s="218">
        <f>[16]tra!H119</f>
        <v>-216.13300000000001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2"/>
  <sheetViews>
    <sheetView topLeftCell="I1" zoomScale="80" zoomScaleNormal="80" workbookViewId="0">
      <selection activeCell="AA21" sqref="AA21"/>
    </sheetView>
  </sheetViews>
  <sheetFormatPr defaultRowHeight="15" x14ac:dyDescent="0.25"/>
  <cols>
    <col min="1" max="21" width="9.140625" style="218"/>
    <col min="22" max="22" width="14" style="218" customWidth="1"/>
    <col min="23" max="24" width="9.140625" style="218"/>
    <col min="25" max="25" width="14.85546875" style="218" customWidth="1"/>
    <col min="26" max="16384" width="9.140625" style="218"/>
  </cols>
  <sheetData>
    <row r="1" spans="1:27" x14ac:dyDescent="0.25">
      <c r="A1" s="218" t="s">
        <v>412</v>
      </c>
    </row>
    <row r="2" spans="1:27" x14ac:dyDescent="0.25">
      <c r="A2" s="222" t="s">
        <v>404</v>
      </c>
      <c r="B2" s="222" t="s">
        <v>405</v>
      </c>
      <c r="C2" s="222"/>
      <c r="D2" s="222" t="s">
        <v>406</v>
      </c>
      <c r="E2" s="222"/>
      <c r="F2" s="221" t="str">
        <f>[16]pil!$I$1</f>
        <v>CondCar  4</v>
      </c>
      <c r="H2" s="218" t="s">
        <v>422</v>
      </c>
      <c r="L2" s="220" t="s">
        <v>404</v>
      </c>
      <c r="M2" s="220" t="s">
        <v>405</v>
      </c>
      <c r="N2" s="220"/>
      <c r="O2" s="220" t="s">
        <v>406</v>
      </c>
      <c r="P2" s="220"/>
      <c r="Q2" s="221" t="str">
        <f>[16]pil!$I$1</f>
        <v>CondCar  4</v>
      </c>
      <c r="S2" s="218" t="s">
        <v>423</v>
      </c>
      <c r="U2" s="235"/>
      <c r="V2" s="238"/>
      <c r="W2" s="230" t="s">
        <v>425</v>
      </c>
      <c r="X2" s="239"/>
      <c r="Y2" s="238"/>
      <c r="Z2" s="230" t="s">
        <v>426</v>
      </c>
      <c r="AA2" s="239"/>
    </row>
    <row r="3" spans="1:27" x14ac:dyDescent="0.25">
      <c r="A3" s="218">
        <v>9</v>
      </c>
      <c r="B3" s="218">
        <v>1</v>
      </c>
      <c r="D3" s="218">
        <v>6</v>
      </c>
      <c r="E3" s="218" t="s">
        <v>407</v>
      </c>
      <c r="F3" s="221">
        <f>[16]pil!I650</f>
        <v>28.632999999999999</v>
      </c>
      <c r="G3" s="218">
        <v>6</v>
      </c>
      <c r="H3" s="218">
        <f>MAX(MAX(F3,F15,F27),-MIN(F3,F15,F27))</f>
        <v>66.992999999999995</v>
      </c>
      <c r="L3">
        <v>15</v>
      </c>
      <c r="M3">
        <v>24</v>
      </c>
      <c r="N3"/>
      <c r="O3">
        <v>6</v>
      </c>
      <c r="P3" t="s">
        <v>407</v>
      </c>
      <c r="Q3" s="221">
        <f>[16]pil!I1202</f>
        <v>24.373999999999999</v>
      </c>
      <c r="R3" s="218">
        <v>6</v>
      </c>
      <c r="S3" s="218">
        <f>MAX(MAX(Q3,Q15,Q27),-MIN(Q3,Q15,Q27))</f>
        <v>70.599999999999994</v>
      </c>
      <c r="U3" s="235"/>
      <c r="V3" s="234" t="str">
        <f>confronti!D19</f>
        <v>PREVISIONE y</v>
      </c>
      <c r="W3" s="234" t="s">
        <v>422</v>
      </c>
      <c r="X3" s="234" t="s">
        <v>423</v>
      </c>
      <c r="Y3" s="234" t="str">
        <f>confronti!E38</f>
        <v>PREVISIONE y</v>
      </c>
      <c r="Z3" s="233" t="s">
        <v>422</v>
      </c>
      <c r="AA3" s="233" t="s">
        <v>423</v>
      </c>
    </row>
    <row r="4" spans="1:27" x14ac:dyDescent="0.25">
      <c r="A4" s="218">
        <v>9</v>
      </c>
      <c r="B4" s="218">
        <v>1</v>
      </c>
      <c r="D4" s="218">
        <v>6</v>
      </c>
      <c r="E4" s="218" t="s">
        <v>421</v>
      </c>
      <c r="F4" s="221">
        <f>[16]pil!I651</f>
        <v>-20.602</v>
      </c>
      <c r="H4" s="218">
        <f t="shared" ref="H4:H14" si="0">MAX(MAX(F4,F16,F28),-MIN(F4,F16,F28))</f>
        <v>32.884999999999998</v>
      </c>
      <c r="L4">
        <v>15</v>
      </c>
      <c r="M4">
        <v>24</v>
      </c>
      <c r="N4"/>
      <c r="O4">
        <v>6</v>
      </c>
      <c r="P4" t="s">
        <v>421</v>
      </c>
      <c r="Q4" s="221">
        <f>[16]pil!I1203</f>
        <v>-19.196000000000002</v>
      </c>
      <c r="S4" s="218">
        <f t="shared" ref="S4:S14" si="1">MAX(MAX(Q4,Q16,Q28),-MIN(Q4,Q16,Q28))</f>
        <v>35.186</v>
      </c>
      <c r="U4" s="226">
        <v>6</v>
      </c>
      <c r="V4" s="237">
        <f>confronti!D20</f>
        <v>50.83051079366281</v>
      </c>
      <c r="W4" s="236">
        <f>$H$3</f>
        <v>66.992999999999995</v>
      </c>
      <c r="X4" s="236">
        <f>$S$3</f>
        <v>70.599999999999994</v>
      </c>
      <c r="Y4" s="237">
        <f>confronti!E39</f>
        <v>25.415255396831405</v>
      </c>
      <c r="Z4" s="236">
        <f t="shared" ref="Z4:Z9" si="2">K57</f>
        <v>31.629000000000001</v>
      </c>
      <c r="AA4" s="237">
        <f t="shared" ref="AA4:AA9" si="3">X57</f>
        <v>40.058999999999997</v>
      </c>
    </row>
    <row r="5" spans="1:27" x14ac:dyDescent="0.25">
      <c r="A5" s="218">
        <v>9</v>
      </c>
      <c r="B5" s="218">
        <v>1</v>
      </c>
      <c r="D5" s="218">
        <v>5</v>
      </c>
      <c r="E5" s="218" t="s">
        <v>407</v>
      </c>
      <c r="F5" s="221">
        <f>[16]pil!I654</f>
        <v>35.319000000000003</v>
      </c>
      <c r="G5" s="218">
        <v>5</v>
      </c>
      <c r="H5" s="218">
        <f t="shared" si="0"/>
        <v>96.76</v>
      </c>
      <c r="L5">
        <v>15</v>
      </c>
      <c r="M5">
        <v>24</v>
      </c>
      <c r="N5"/>
      <c r="O5">
        <v>5</v>
      </c>
      <c r="P5" t="s">
        <v>407</v>
      </c>
      <c r="Q5" s="221">
        <f>[16]pil!I1206</f>
        <v>34.496000000000002</v>
      </c>
      <c r="R5" s="218">
        <v>5</v>
      </c>
      <c r="S5" s="218">
        <f t="shared" si="1"/>
        <v>95.917000000000002</v>
      </c>
      <c r="U5" s="226">
        <v>5</v>
      </c>
      <c r="V5" s="237">
        <f>confronti!D21</f>
        <v>114.32055506624476</v>
      </c>
      <c r="W5" s="237">
        <f>$H$5</f>
        <v>96.76</v>
      </c>
      <c r="X5" s="237">
        <f>$S$5</f>
        <v>95.917000000000002</v>
      </c>
      <c r="Y5" s="237">
        <f>confronti!E40</f>
        <v>82.575532929953795</v>
      </c>
      <c r="Z5" s="236">
        <f t="shared" si="2"/>
        <v>64.504000000000005</v>
      </c>
      <c r="AA5" s="237">
        <f t="shared" si="3"/>
        <v>66.212999999999994</v>
      </c>
    </row>
    <row r="6" spans="1:27" x14ac:dyDescent="0.25">
      <c r="A6" s="218">
        <v>9</v>
      </c>
      <c r="B6" s="218">
        <v>1</v>
      </c>
      <c r="D6" s="218">
        <v>5</v>
      </c>
      <c r="E6" s="218" t="s">
        <v>421</v>
      </c>
      <c r="F6" s="221">
        <f>[16]pil!I655</f>
        <v>-37.835000000000001</v>
      </c>
      <c r="H6" s="218">
        <f t="shared" si="0"/>
        <v>89.221999999999994</v>
      </c>
      <c r="L6">
        <v>15</v>
      </c>
      <c r="M6">
        <v>24</v>
      </c>
      <c r="N6"/>
      <c r="O6">
        <v>5</v>
      </c>
      <c r="P6" t="s">
        <v>421</v>
      </c>
      <c r="Q6" s="221">
        <f>[16]pil!I1207</f>
        <v>-36.31</v>
      </c>
      <c r="S6" s="218">
        <f t="shared" si="1"/>
        <v>91.644999999999996</v>
      </c>
      <c r="U6" s="226">
        <v>4</v>
      </c>
      <c r="V6" s="237">
        <f>confronti!D22</f>
        <v>156.16513091545224</v>
      </c>
      <c r="W6" s="237">
        <f>$H$7</f>
        <v>137.13399999999999</v>
      </c>
      <c r="X6" s="237">
        <f>$S$7</f>
        <v>138.53200000000001</v>
      </c>
      <c r="Y6" s="237">
        <f>confronti!E41</f>
        <v>135.24284299084849</v>
      </c>
      <c r="Z6" s="236">
        <f t="shared" si="2"/>
        <v>116.55500000000001</v>
      </c>
      <c r="AA6" s="237">
        <f t="shared" si="3"/>
        <v>120.423</v>
      </c>
    </row>
    <row r="7" spans="1:27" x14ac:dyDescent="0.25">
      <c r="A7" s="218">
        <v>9</v>
      </c>
      <c r="B7" s="218">
        <v>1</v>
      </c>
      <c r="D7" s="218">
        <v>4</v>
      </c>
      <c r="E7" s="218" t="s">
        <v>407</v>
      </c>
      <c r="F7" s="221">
        <f>[16]pil!I658</f>
        <v>51.854999999999997</v>
      </c>
      <c r="G7" s="218">
        <v>4</v>
      </c>
      <c r="H7" s="218">
        <f t="shared" si="0"/>
        <v>137.13399999999999</v>
      </c>
      <c r="L7">
        <v>15</v>
      </c>
      <c r="M7">
        <v>24</v>
      </c>
      <c r="N7"/>
      <c r="O7">
        <v>4</v>
      </c>
      <c r="P7" t="s">
        <v>407</v>
      </c>
      <c r="Q7" s="221">
        <f>[16]pil!I1210</f>
        <v>49.67</v>
      </c>
      <c r="R7" s="218">
        <v>4</v>
      </c>
      <c r="S7" s="218">
        <f t="shared" si="1"/>
        <v>138.53200000000001</v>
      </c>
      <c r="U7" s="226">
        <v>3</v>
      </c>
      <c r="V7" s="237">
        <f>confronti!D23</f>
        <v>187.94183889116619</v>
      </c>
      <c r="W7" s="237">
        <f>$H$9</f>
        <v>162.50200000000001</v>
      </c>
      <c r="X7" s="237">
        <f>$S$9</f>
        <v>163.624</v>
      </c>
      <c r="Y7" s="237">
        <f>confronti!E42</f>
        <v>172.0534849033092</v>
      </c>
      <c r="Z7" s="236">
        <f t="shared" si="2"/>
        <v>148.73500000000001</v>
      </c>
      <c r="AA7" s="237">
        <f t="shared" si="3"/>
        <v>144.90299999999999</v>
      </c>
    </row>
    <row r="8" spans="1:27" x14ac:dyDescent="0.25">
      <c r="A8" s="218">
        <v>9</v>
      </c>
      <c r="B8" s="218">
        <v>1</v>
      </c>
      <c r="D8" s="218">
        <v>4</v>
      </c>
      <c r="E8" s="218" t="s">
        <v>421</v>
      </c>
      <c r="F8" s="221">
        <f>[16]pil!I659</f>
        <v>-49.183999999999997</v>
      </c>
      <c r="H8" s="218">
        <f t="shared" si="0"/>
        <v>116.697</v>
      </c>
      <c r="L8">
        <v>15</v>
      </c>
      <c r="M8">
        <v>24</v>
      </c>
      <c r="N8"/>
      <c r="O8">
        <v>4</v>
      </c>
      <c r="P8" t="s">
        <v>421</v>
      </c>
      <c r="Q8" s="221">
        <f>[16]pil!I1211</f>
        <v>-48.121000000000002</v>
      </c>
      <c r="S8" s="218">
        <f t="shared" si="1"/>
        <v>118.874</v>
      </c>
      <c r="U8" s="226">
        <v>2</v>
      </c>
      <c r="V8" s="237">
        <f>confronti!D24</f>
        <v>209.65067899338661</v>
      </c>
      <c r="W8" s="237">
        <f>$H$11</f>
        <v>176.02199999999999</v>
      </c>
      <c r="X8" s="237">
        <f>$S$11</f>
        <v>178.001</v>
      </c>
      <c r="Y8" s="237">
        <f>confronti!E43</f>
        <v>198.79625894227638</v>
      </c>
      <c r="Z8" s="236">
        <f t="shared" si="2"/>
        <v>177.136</v>
      </c>
      <c r="AA8" s="237">
        <f t="shared" si="3"/>
        <v>164.01900000000001</v>
      </c>
    </row>
    <row r="9" spans="1:27" x14ac:dyDescent="0.25">
      <c r="A9" s="218">
        <v>9</v>
      </c>
      <c r="B9" s="218">
        <v>1</v>
      </c>
      <c r="D9" s="218">
        <v>3</v>
      </c>
      <c r="E9" s="218" t="s">
        <v>407</v>
      </c>
      <c r="F9" s="221">
        <f>[16]pil!I662</f>
        <v>59.466999999999999</v>
      </c>
      <c r="G9" s="218">
        <v>3</v>
      </c>
      <c r="H9" s="218">
        <f t="shared" si="0"/>
        <v>162.50200000000001</v>
      </c>
      <c r="L9">
        <v>15</v>
      </c>
      <c r="M9">
        <v>24</v>
      </c>
      <c r="N9"/>
      <c r="O9">
        <v>3</v>
      </c>
      <c r="P9" t="s">
        <v>407</v>
      </c>
      <c r="Q9" s="221">
        <f>[16]pil!I1214</f>
        <v>60.201999999999998</v>
      </c>
      <c r="R9" s="218">
        <v>3</v>
      </c>
      <c r="S9" s="218">
        <f t="shared" si="1"/>
        <v>163.624</v>
      </c>
      <c r="U9" s="226" t="s">
        <v>424</v>
      </c>
      <c r="V9" s="237">
        <f>confronti!D25</f>
        <v>204.80477919429509</v>
      </c>
      <c r="W9" s="237">
        <f>$H$13</f>
        <v>168.59</v>
      </c>
      <c r="X9" s="237">
        <f>$S$13</f>
        <v>165.09700000000001</v>
      </c>
      <c r="Y9" s="237">
        <f>confronti!E44</f>
        <v>207.22772909384085</v>
      </c>
      <c r="Z9" s="236">
        <f t="shared" si="2"/>
        <v>189.227</v>
      </c>
      <c r="AA9" s="237">
        <f t="shared" si="3"/>
        <v>170.072</v>
      </c>
    </row>
    <row r="10" spans="1:27" x14ac:dyDescent="0.25">
      <c r="A10" s="218">
        <v>9</v>
      </c>
      <c r="B10" s="218">
        <v>1</v>
      </c>
      <c r="D10" s="218">
        <v>3</v>
      </c>
      <c r="E10" s="218" t="s">
        <v>421</v>
      </c>
      <c r="F10" s="221">
        <f>[16]pil!I663</f>
        <v>-57.393000000000001</v>
      </c>
      <c r="H10" s="218">
        <f t="shared" si="0"/>
        <v>147.346</v>
      </c>
      <c r="L10">
        <v>15</v>
      </c>
      <c r="M10">
        <v>24</v>
      </c>
      <c r="N10"/>
      <c r="O10">
        <v>3</v>
      </c>
      <c r="P10" t="s">
        <v>421</v>
      </c>
      <c r="Q10" s="221">
        <f>[16]pil!I1215</f>
        <v>-59.051000000000002</v>
      </c>
      <c r="S10" s="218">
        <f t="shared" si="1"/>
        <v>148.19800000000001</v>
      </c>
      <c r="U10" s="226" t="s">
        <v>410</v>
      </c>
      <c r="V10" s="237">
        <f>confronti!D26</f>
        <v>307.20716879144265</v>
      </c>
      <c r="W10" s="237">
        <f>$H$14</f>
        <v>304.21600000000001</v>
      </c>
      <c r="X10" s="237">
        <f>$S$14</f>
        <v>285.65800000000002</v>
      </c>
      <c r="Y10" s="228"/>
      <c r="Z10" s="228"/>
      <c r="AA10" s="228"/>
    </row>
    <row r="11" spans="1:27" x14ac:dyDescent="0.25">
      <c r="A11" s="218">
        <v>9</v>
      </c>
      <c r="B11" s="218">
        <v>1</v>
      </c>
      <c r="D11" s="218">
        <v>2</v>
      </c>
      <c r="E11" s="218" t="s">
        <v>407</v>
      </c>
      <c r="F11" s="221">
        <f>[16]pil!I666</f>
        <v>65.992999999999995</v>
      </c>
      <c r="G11" s="218">
        <v>2</v>
      </c>
      <c r="H11" s="218">
        <f t="shared" si="0"/>
        <v>176.02199999999999</v>
      </c>
      <c r="L11">
        <v>15</v>
      </c>
      <c r="M11">
        <v>24</v>
      </c>
      <c r="N11"/>
      <c r="O11">
        <v>2</v>
      </c>
      <c r="P11" t="s">
        <v>407</v>
      </c>
      <c r="Q11" s="221">
        <f>[16]pil!I1218</f>
        <v>69.274000000000001</v>
      </c>
      <c r="R11" s="218">
        <v>2</v>
      </c>
      <c r="S11" s="218">
        <f t="shared" si="1"/>
        <v>178.001</v>
      </c>
    </row>
    <row r="12" spans="1:27" x14ac:dyDescent="0.25">
      <c r="A12" s="218">
        <v>9</v>
      </c>
      <c r="B12" s="218">
        <v>1</v>
      </c>
      <c r="D12" s="218">
        <v>2</v>
      </c>
      <c r="E12" s="218" t="s">
        <v>421</v>
      </c>
      <c r="F12" s="221">
        <f>[16]pil!I667</f>
        <v>-67.412000000000006</v>
      </c>
      <c r="H12" s="218">
        <f t="shared" si="0"/>
        <v>169.27199999999999</v>
      </c>
      <c r="L12">
        <v>15</v>
      </c>
      <c r="M12">
        <v>24</v>
      </c>
      <c r="N12"/>
      <c r="O12">
        <v>2</v>
      </c>
      <c r="P12" t="s">
        <v>421</v>
      </c>
      <c r="Q12" s="221">
        <f>[16]pil!I1219</f>
        <v>-71.409000000000006</v>
      </c>
      <c r="S12" s="218">
        <f t="shared" si="1"/>
        <v>173.31299999999999</v>
      </c>
    </row>
    <row r="13" spans="1:27" x14ac:dyDescent="0.25">
      <c r="A13" s="218">
        <v>9</v>
      </c>
      <c r="B13" s="218">
        <v>1</v>
      </c>
      <c r="D13" s="218">
        <v>1</v>
      </c>
      <c r="E13" s="218" t="s">
        <v>407</v>
      </c>
      <c r="F13" s="221">
        <f>[16]pil!I670</f>
        <v>53.439</v>
      </c>
      <c r="G13" s="218">
        <v>1</v>
      </c>
      <c r="H13" s="218">
        <f t="shared" si="0"/>
        <v>168.59</v>
      </c>
      <c r="L13">
        <v>15</v>
      </c>
      <c r="M13">
        <v>24</v>
      </c>
      <c r="N13"/>
      <c r="O13">
        <v>1</v>
      </c>
      <c r="P13" t="s">
        <v>407</v>
      </c>
      <c r="Q13" s="221">
        <f>[16]pil!I1222</f>
        <v>54.896999999999998</v>
      </c>
      <c r="R13" s="218">
        <v>1</v>
      </c>
      <c r="S13" s="218">
        <f t="shared" si="1"/>
        <v>165.09700000000001</v>
      </c>
    </row>
    <row r="14" spans="1:27" x14ac:dyDescent="0.25">
      <c r="A14" s="218">
        <v>9</v>
      </c>
      <c r="B14" s="218">
        <v>1</v>
      </c>
      <c r="D14" s="218">
        <v>1</v>
      </c>
      <c r="E14" s="218" t="s">
        <v>421</v>
      </c>
      <c r="F14" s="221">
        <f>[16]pil!I671</f>
        <v>-67.132999999999996</v>
      </c>
      <c r="H14" s="218">
        <f t="shared" si="0"/>
        <v>304.21600000000001</v>
      </c>
      <c r="L14">
        <v>15</v>
      </c>
      <c r="M14">
        <v>24</v>
      </c>
      <c r="N14"/>
      <c r="O14">
        <v>1</v>
      </c>
      <c r="P14" t="s">
        <v>421</v>
      </c>
      <c r="Q14" s="221">
        <f>[16]pil!I1223</f>
        <v>-64.77</v>
      </c>
      <c r="S14" s="218">
        <f t="shared" si="1"/>
        <v>285.65800000000002</v>
      </c>
    </row>
    <row r="15" spans="1:27" x14ac:dyDescent="0.25">
      <c r="A15" s="218">
        <v>9</v>
      </c>
      <c r="B15" s="218">
        <v>2</v>
      </c>
      <c r="D15" s="218">
        <v>6</v>
      </c>
      <c r="E15" s="218" t="s">
        <v>407</v>
      </c>
      <c r="F15" s="221">
        <f>[16]pil!I674</f>
        <v>66.992999999999995</v>
      </c>
      <c r="L15">
        <v>15</v>
      </c>
      <c r="M15">
        <v>25</v>
      </c>
      <c r="N15"/>
      <c r="O15">
        <v>6</v>
      </c>
      <c r="P15" t="s">
        <v>407</v>
      </c>
      <c r="Q15" s="221">
        <f>[16]pil!I1226</f>
        <v>69.938000000000002</v>
      </c>
    </row>
    <row r="16" spans="1:27" x14ac:dyDescent="0.25">
      <c r="A16" s="218">
        <v>9</v>
      </c>
      <c r="B16" s="218">
        <v>2</v>
      </c>
      <c r="D16" s="218">
        <v>6</v>
      </c>
      <c r="E16" s="218" t="s">
        <v>421</v>
      </c>
      <c r="F16" s="221">
        <f>[16]pil!I675</f>
        <v>-32.884999999999998</v>
      </c>
      <c r="L16">
        <v>15</v>
      </c>
      <c r="M16">
        <v>25</v>
      </c>
      <c r="N16"/>
      <c r="O16">
        <v>6</v>
      </c>
      <c r="P16" t="s">
        <v>421</v>
      </c>
      <c r="Q16" s="221">
        <f>[16]pil!I1227</f>
        <v>-35.186</v>
      </c>
    </row>
    <row r="17" spans="1:17" x14ac:dyDescent="0.25">
      <c r="A17" s="218">
        <v>9</v>
      </c>
      <c r="B17" s="218">
        <v>2</v>
      </c>
      <c r="D17" s="218">
        <v>5</v>
      </c>
      <c r="E17" s="218" t="s">
        <v>407</v>
      </c>
      <c r="F17" s="221">
        <f>[16]pil!I678</f>
        <v>96.76</v>
      </c>
      <c r="L17">
        <v>15</v>
      </c>
      <c r="M17">
        <v>25</v>
      </c>
      <c r="N17"/>
      <c r="O17">
        <v>5</v>
      </c>
      <c r="P17" t="s">
        <v>407</v>
      </c>
      <c r="Q17" s="221">
        <f>[16]pil!I1230</f>
        <v>95.917000000000002</v>
      </c>
    </row>
    <row r="18" spans="1:17" x14ac:dyDescent="0.25">
      <c r="A18" s="218">
        <v>9</v>
      </c>
      <c r="B18" s="218">
        <v>2</v>
      </c>
      <c r="D18" s="218">
        <v>5</v>
      </c>
      <c r="E18" s="218" t="s">
        <v>421</v>
      </c>
      <c r="F18" s="221">
        <f>[16]pil!I679</f>
        <v>-89.221999999999994</v>
      </c>
      <c r="L18">
        <v>15</v>
      </c>
      <c r="M18">
        <v>25</v>
      </c>
      <c r="N18"/>
      <c r="O18">
        <v>5</v>
      </c>
      <c r="P18" t="s">
        <v>421</v>
      </c>
      <c r="Q18" s="221">
        <f>[16]pil!I1231</f>
        <v>-91.644999999999996</v>
      </c>
    </row>
    <row r="19" spans="1:17" x14ac:dyDescent="0.25">
      <c r="A19" s="218">
        <v>9</v>
      </c>
      <c r="B19" s="218">
        <v>2</v>
      </c>
      <c r="D19" s="218">
        <v>4</v>
      </c>
      <c r="E19" s="218" t="s">
        <v>407</v>
      </c>
      <c r="F19" s="221">
        <f>[16]pil!I682</f>
        <v>137.13399999999999</v>
      </c>
      <c r="L19">
        <v>15</v>
      </c>
      <c r="M19">
        <v>25</v>
      </c>
      <c r="N19"/>
      <c r="O19">
        <v>4</v>
      </c>
      <c r="P19" t="s">
        <v>407</v>
      </c>
      <c r="Q19" s="221">
        <f>[16]pil!I1234</f>
        <v>138.53200000000001</v>
      </c>
    </row>
    <row r="20" spans="1:17" x14ac:dyDescent="0.25">
      <c r="A20" s="218">
        <v>9</v>
      </c>
      <c r="B20" s="218">
        <v>2</v>
      </c>
      <c r="D20" s="218">
        <v>4</v>
      </c>
      <c r="E20" s="218" t="s">
        <v>421</v>
      </c>
      <c r="F20" s="221">
        <f>[16]pil!I683</f>
        <v>-116.697</v>
      </c>
      <c r="L20">
        <v>15</v>
      </c>
      <c r="M20">
        <v>25</v>
      </c>
      <c r="N20"/>
      <c r="O20">
        <v>4</v>
      </c>
      <c r="P20" t="s">
        <v>421</v>
      </c>
      <c r="Q20" s="221">
        <f>[16]pil!I1235</f>
        <v>-118.874</v>
      </c>
    </row>
    <row r="21" spans="1:17" x14ac:dyDescent="0.25">
      <c r="A21" s="218">
        <v>9</v>
      </c>
      <c r="B21" s="218">
        <v>2</v>
      </c>
      <c r="D21" s="218">
        <v>3</v>
      </c>
      <c r="E21" s="218" t="s">
        <v>407</v>
      </c>
      <c r="F21" s="221">
        <f>[16]pil!I686</f>
        <v>162.50200000000001</v>
      </c>
      <c r="L21">
        <v>15</v>
      </c>
      <c r="M21">
        <v>25</v>
      </c>
      <c r="N21"/>
      <c r="O21">
        <v>3</v>
      </c>
      <c r="P21" t="s">
        <v>407</v>
      </c>
      <c r="Q21" s="221">
        <f>[16]pil!I1238</f>
        <v>163.624</v>
      </c>
    </row>
    <row r="22" spans="1:17" x14ac:dyDescent="0.25">
      <c r="A22" s="218">
        <v>9</v>
      </c>
      <c r="B22" s="218">
        <v>2</v>
      </c>
      <c r="D22" s="218">
        <v>3</v>
      </c>
      <c r="E22" s="218" t="s">
        <v>421</v>
      </c>
      <c r="F22" s="221">
        <f>[16]pil!I687</f>
        <v>-147.346</v>
      </c>
      <c r="L22">
        <v>15</v>
      </c>
      <c r="M22">
        <v>25</v>
      </c>
      <c r="N22"/>
      <c r="O22">
        <v>3</v>
      </c>
      <c r="P22" t="s">
        <v>421</v>
      </c>
      <c r="Q22" s="221">
        <f>[16]pil!I1239</f>
        <v>-148.19800000000001</v>
      </c>
    </row>
    <row r="23" spans="1:17" x14ac:dyDescent="0.25">
      <c r="A23" s="218">
        <v>9</v>
      </c>
      <c r="B23" s="218">
        <v>2</v>
      </c>
      <c r="D23" s="218">
        <v>2</v>
      </c>
      <c r="E23" s="218" t="s">
        <v>407</v>
      </c>
      <c r="F23" s="221">
        <f>[16]pil!I690</f>
        <v>176.02199999999999</v>
      </c>
      <c r="L23">
        <v>15</v>
      </c>
      <c r="M23">
        <v>25</v>
      </c>
      <c r="N23"/>
      <c r="O23">
        <v>2</v>
      </c>
      <c r="P23" t="s">
        <v>407</v>
      </c>
      <c r="Q23" s="221">
        <f>[16]pil!I1242</f>
        <v>178.001</v>
      </c>
    </row>
    <row r="24" spans="1:17" x14ac:dyDescent="0.25">
      <c r="A24" s="218">
        <v>9</v>
      </c>
      <c r="B24" s="218">
        <v>2</v>
      </c>
      <c r="D24" s="218">
        <v>2</v>
      </c>
      <c r="E24" s="218" t="s">
        <v>421</v>
      </c>
      <c r="F24" s="221">
        <f>[16]pil!I691</f>
        <v>-169.27199999999999</v>
      </c>
      <c r="L24">
        <v>15</v>
      </c>
      <c r="M24">
        <v>25</v>
      </c>
      <c r="N24"/>
      <c r="O24">
        <v>2</v>
      </c>
      <c r="P24" t="s">
        <v>421</v>
      </c>
      <c r="Q24" s="221">
        <f>[16]pil!I1243</f>
        <v>-173.31299999999999</v>
      </c>
    </row>
    <row r="25" spans="1:17" x14ac:dyDescent="0.25">
      <c r="A25" s="218">
        <v>9</v>
      </c>
      <c r="B25" s="218">
        <v>2</v>
      </c>
      <c r="D25" s="218">
        <v>1</v>
      </c>
      <c r="E25" s="218" t="s">
        <v>407</v>
      </c>
      <c r="F25" s="221">
        <f>[16]pil!I694</f>
        <v>168.59</v>
      </c>
      <c r="L25">
        <v>15</v>
      </c>
      <c r="M25">
        <v>25</v>
      </c>
      <c r="N25"/>
      <c r="O25">
        <v>1</v>
      </c>
      <c r="P25" t="s">
        <v>407</v>
      </c>
      <c r="Q25" s="221">
        <f>[16]pil!I1246</f>
        <v>165.09700000000001</v>
      </c>
    </row>
    <row r="26" spans="1:17" x14ac:dyDescent="0.25">
      <c r="A26" s="218">
        <v>9</v>
      </c>
      <c r="B26" s="218">
        <v>2</v>
      </c>
      <c r="D26" s="218">
        <v>1</v>
      </c>
      <c r="E26" s="218" t="s">
        <v>421</v>
      </c>
      <c r="F26" s="221">
        <f>[16]pil!I695</f>
        <v>-304.21600000000001</v>
      </c>
      <c r="L26">
        <v>15</v>
      </c>
      <c r="M26">
        <v>25</v>
      </c>
      <c r="N26"/>
      <c r="O26">
        <v>1</v>
      </c>
      <c r="P26" t="s">
        <v>421</v>
      </c>
      <c r="Q26" s="221">
        <f>[16]pil!I1247</f>
        <v>-285.65800000000002</v>
      </c>
    </row>
    <row r="27" spans="1:17" x14ac:dyDescent="0.25">
      <c r="A27" s="218">
        <v>9</v>
      </c>
      <c r="B27" s="218">
        <v>3</v>
      </c>
      <c r="D27" s="218">
        <v>6</v>
      </c>
      <c r="E27" s="218" t="s">
        <v>407</v>
      </c>
      <c r="F27" s="221">
        <f>[16]pil!I698</f>
        <v>24.989000000000001</v>
      </c>
      <c r="L27">
        <v>15</v>
      </c>
      <c r="M27">
        <v>26</v>
      </c>
      <c r="N27"/>
      <c r="O27">
        <v>6</v>
      </c>
      <c r="P27" t="s">
        <v>407</v>
      </c>
      <c r="Q27" s="221">
        <f>[16]pil!I1250</f>
        <v>70.599999999999994</v>
      </c>
    </row>
    <row r="28" spans="1:17" x14ac:dyDescent="0.25">
      <c r="A28" s="218">
        <v>9</v>
      </c>
      <c r="B28" s="218">
        <v>3</v>
      </c>
      <c r="D28" s="218">
        <v>6</v>
      </c>
      <c r="E28" s="218" t="s">
        <v>421</v>
      </c>
      <c r="F28" s="221">
        <f>[16]pil!I699</f>
        <v>-19.798999999999999</v>
      </c>
      <c r="L28">
        <v>15</v>
      </c>
      <c r="M28">
        <v>26</v>
      </c>
      <c r="N28"/>
      <c r="O28">
        <v>6</v>
      </c>
      <c r="P28" t="s">
        <v>421</v>
      </c>
      <c r="Q28" s="221">
        <f>[16]pil!I1251</f>
        <v>-34.72</v>
      </c>
    </row>
    <row r="29" spans="1:17" x14ac:dyDescent="0.25">
      <c r="A29" s="218">
        <v>9</v>
      </c>
      <c r="B29" s="218">
        <v>3</v>
      </c>
      <c r="D29" s="218">
        <v>5</v>
      </c>
      <c r="E29" s="218" t="s">
        <v>407</v>
      </c>
      <c r="F29" s="221">
        <f>[16]pil!I702</f>
        <v>36.387999999999998</v>
      </c>
      <c r="L29">
        <v>15</v>
      </c>
      <c r="M29">
        <v>26</v>
      </c>
      <c r="N29"/>
      <c r="O29">
        <v>5</v>
      </c>
      <c r="P29" t="s">
        <v>407</v>
      </c>
      <c r="Q29" s="221">
        <f>[16]pil!I1254</f>
        <v>94.599000000000004</v>
      </c>
    </row>
    <row r="30" spans="1:17" x14ac:dyDescent="0.25">
      <c r="A30" s="218">
        <v>9</v>
      </c>
      <c r="B30" s="218">
        <v>3</v>
      </c>
      <c r="D30" s="218">
        <v>5</v>
      </c>
      <c r="E30" s="218" t="s">
        <v>421</v>
      </c>
      <c r="F30" s="221">
        <f>[16]pil!I703</f>
        <v>-38.372</v>
      </c>
      <c r="L30">
        <v>15</v>
      </c>
      <c r="M30">
        <v>26</v>
      </c>
      <c r="N30"/>
      <c r="O30">
        <v>5</v>
      </c>
      <c r="P30" t="s">
        <v>421</v>
      </c>
      <c r="Q30" s="221">
        <f>[16]pil!I1255</f>
        <v>-90.194000000000003</v>
      </c>
    </row>
    <row r="31" spans="1:17" x14ac:dyDescent="0.25">
      <c r="A31" s="218">
        <v>9</v>
      </c>
      <c r="B31" s="218">
        <v>3</v>
      </c>
      <c r="D31" s="218">
        <v>4</v>
      </c>
      <c r="E31" s="218" t="s">
        <v>407</v>
      </c>
      <c r="F31" s="221">
        <f>[16]pil!I706</f>
        <v>53.024999999999999</v>
      </c>
      <c r="L31">
        <v>15</v>
      </c>
      <c r="M31">
        <v>26</v>
      </c>
      <c r="N31"/>
      <c r="O31">
        <v>4</v>
      </c>
      <c r="P31" t="s">
        <v>407</v>
      </c>
      <c r="Q31" s="221">
        <f>[16]pil!I1258</f>
        <v>136.42599999999999</v>
      </c>
    </row>
    <row r="32" spans="1:17" x14ac:dyDescent="0.25">
      <c r="A32" s="218">
        <v>9</v>
      </c>
      <c r="B32" s="218">
        <v>3</v>
      </c>
      <c r="D32" s="218">
        <v>4</v>
      </c>
      <c r="E32" s="218" t="s">
        <v>421</v>
      </c>
      <c r="F32" s="221">
        <f>[16]pil!I707</f>
        <v>-51.664999999999999</v>
      </c>
      <c r="L32">
        <v>15</v>
      </c>
      <c r="M32">
        <v>26</v>
      </c>
      <c r="N32"/>
      <c r="O32">
        <v>4</v>
      </c>
      <c r="P32" t="s">
        <v>421</v>
      </c>
      <c r="Q32" s="221">
        <f>[16]pil!I1259</f>
        <v>-116.14700000000001</v>
      </c>
    </row>
    <row r="33" spans="1:17" x14ac:dyDescent="0.25">
      <c r="A33" s="218">
        <v>9</v>
      </c>
      <c r="B33" s="218">
        <v>3</v>
      </c>
      <c r="D33" s="218">
        <v>3</v>
      </c>
      <c r="E33" s="218" t="s">
        <v>407</v>
      </c>
      <c r="F33" s="221">
        <f>[16]pil!I710</f>
        <v>64.522999999999996</v>
      </c>
      <c r="L33">
        <v>15</v>
      </c>
      <c r="M33">
        <v>26</v>
      </c>
      <c r="N33"/>
      <c r="O33">
        <v>3</v>
      </c>
      <c r="P33" t="s">
        <v>407</v>
      </c>
      <c r="Q33" s="221">
        <f>[16]pil!I1262</f>
        <v>159.774</v>
      </c>
    </row>
    <row r="34" spans="1:17" x14ac:dyDescent="0.25">
      <c r="A34" s="218">
        <v>9</v>
      </c>
      <c r="B34" s="218">
        <v>3</v>
      </c>
      <c r="D34" s="218">
        <v>3</v>
      </c>
      <c r="E34" s="218" t="s">
        <v>421</v>
      </c>
      <c r="F34" s="221">
        <f>[16]pil!I711</f>
        <v>-63.656999999999996</v>
      </c>
      <c r="L34">
        <v>15</v>
      </c>
      <c r="M34">
        <v>26</v>
      </c>
      <c r="N34"/>
      <c r="O34">
        <v>3</v>
      </c>
      <c r="P34" t="s">
        <v>421</v>
      </c>
      <c r="Q34" s="221">
        <f>[16]pil!I1263</f>
        <v>-143.90799999999999</v>
      </c>
    </row>
    <row r="35" spans="1:17" x14ac:dyDescent="0.25">
      <c r="A35" s="218">
        <v>9</v>
      </c>
      <c r="B35" s="218">
        <v>3</v>
      </c>
      <c r="D35" s="218">
        <v>2</v>
      </c>
      <c r="E35" s="218" t="s">
        <v>407</v>
      </c>
      <c r="F35" s="221">
        <f>[16]pil!I714</f>
        <v>75.009</v>
      </c>
      <c r="L35">
        <v>15</v>
      </c>
      <c r="M35">
        <v>26</v>
      </c>
      <c r="N35"/>
      <c r="O35">
        <v>2</v>
      </c>
      <c r="P35" t="s">
        <v>407</v>
      </c>
      <c r="Q35" s="221">
        <f>[16]pil!I1266</f>
        <v>172.12700000000001</v>
      </c>
    </row>
    <row r="36" spans="1:17" x14ac:dyDescent="0.25">
      <c r="A36" s="218">
        <v>9</v>
      </c>
      <c r="B36" s="218">
        <v>3</v>
      </c>
      <c r="D36" s="218">
        <v>2</v>
      </c>
      <c r="E36" s="218" t="s">
        <v>421</v>
      </c>
      <c r="F36" s="221">
        <f>[16]pil!I715</f>
        <v>-77.856999999999999</v>
      </c>
      <c r="L36">
        <v>15</v>
      </c>
      <c r="M36">
        <v>26</v>
      </c>
      <c r="N36"/>
      <c r="O36">
        <v>2</v>
      </c>
      <c r="P36" t="s">
        <v>421</v>
      </c>
      <c r="Q36" s="221">
        <f>[16]pil!I1267</f>
        <v>-166.39599999999999</v>
      </c>
    </row>
    <row r="37" spans="1:17" x14ac:dyDescent="0.25">
      <c r="A37" s="218">
        <v>9</v>
      </c>
      <c r="B37" s="218">
        <v>3</v>
      </c>
      <c r="D37" s="218">
        <v>1</v>
      </c>
      <c r="E37" s="218" t="s">
        <v>407</v>
      </c>
      <c r="F37" s="221">
        <f>[16]pil!I718</f>
        <v>60.328000000000003</v>
      </c>
      <c r="L37">
        <v>15</v>
      </c>
      <c r="M37">
        <v>26</v>
      </c>
      <c r="N37"/>
      <c r="O37">
        <v>1</v>
      </c>
      <c r="P37" t="s">
        <v>407</v>
      </c>
      <c r="Q37" s="221">
        <f>[16]pil!I1270</f>
        <v>160.464</v>
      </c>
    </row>
    <row r="38" spans="1:17" x14ac:dyDescent="0.25">
      <c r="A38" s="218">
        <v>9</v>
      </c>
      <c r="B38" s="218">
        <v>3</v>
      </c>
      <c r="D38" s="218">
        <v>1</v>
      </c>
      <c r="E38" s="218" t="s">
        <v>421</v>
      </c>
      <c r="F38" s="221">
        <f>[16]pil!I719</f>
        <v>-70.576999999999998</v>
      </c>
      <c r="L38">
        <v>15</v>
      </c>
      <c r="M38">
        <v>26</v>
      </c>
      <c r="N38"/>
      <c r="O38">
        <v>1</v>
      </c>
      <c r="P38" t="s">
        <v>421</v>
      </c>
      <c r="Q38" s="221">
        <f>[16]pil!I1271</f>
        <v>-283.33699999999999</v>
      </c>
    </row>
    <row r="39" spans="1:17" x14ac:dyDescent="0.25">
      <c r="L39">
        <v>15</v>
      </c>
      <c r="M39">
        <v>27</v>
      </c>
      <c r="N39"/>
      <c r="O39">
        <v>6</v>
      </c>
      <c r="P39" t="s">
        <v>407</v>
      </c>
      <c r="Q39" s="221">
        <f>[16]pil!I1274</f>
        <v>25.234000000000002</v>
      </c>
    </row>
    <row r="40" spans="1:17" x14ac:dyDescent="0.25">
      <c r="L40">
        <v>15</v>
      </c>
      <c r="M40">
        <v>27</v>
      </c>
      <c r="N40"/>
      <c r="O40">
        <v>6</v>
      </c>
      <c r="P40" t="s">
        <v>421</v>
      </c>
      <c r="Q40" s="221">
        <f>[16]pil!I1275</f>
        <v>-19.227</v>
      </c>
    </row>
    <row r="41" spans="1:17" x14ac:dyDescent="0.25">
      <c r="L41">
        <v>15</v>
      </c>
      <c r="M41">
        <v>27</v>
      </c>
      <c r="N41"/>
      <c r="O41">
        <v>5</v>
      </c>
      <c r="P41" t="s">
        <v>407</v>
      </c>
      <c r="Q41" s="221">
        <f>[16]pil!I1278</f>
        <v>33.976999999999997</v>
      </c>
    </row>
    <row r="42" spans="1:17" x14ac:dyDescent="0.25">
      <c r="L42">
        <v>15</v>
      </c>
      <c r="M42">
        <v>27</v>
      </c>
      <c r="N42"/>
      <c r="O42">
        <v>5</v>
      </c>
      <c r="P42" t="s">
        <v>421</v>
      </c>
      <c r="Q42" s="221">
        <f>[16]pil!I1279</f>
        <v>-35.933999999999997</v>
      </c>
    </row>
    <row r="43" spans="1:17" x14ac:dyDescent="0.25">
      <c r="L43">
        <v>15</v>
      </c>
      <c r="M43">
        <v>27</v>
      </c>
      <c r="N43"/>
      <c r="O43">
        <v>4</v>
      </c>
      <c r="P43" t="s">
        <v>407</v>
      </c>
      <c r="Q43" s="221">
        <f>[16]pil!I1282</f>
        <v>49.084000000000003</v>
      </c>
    </row>
    <row r="44" spans="1:17" x14ac:dyDescent="0.25">
      <c r="L44">
        <v>15</v>
      </c>
      <c r="M44">
        <v>27</v>
      </c>
      <c r="N44"/>
      <c r="O44">
        <v>4</v>
      </c>
      <c r="P44" t="s">
        <v>421</v>
      </c>
      <c r="Q44" s="221">
        <f>[16]pil!I1283</f>
        <v>-47.142000000000003</v>
      </c>
    </row>
    <row r="45" spans="1:17" x14ac:dyDescent="0.25">
      <c r="L45">
        <v>15</v>
      </c>
      <c r="M45">
        <v>27</v>
      </c>
      <c r="N45"/>
      <c r="O45">
        <v>3</v>
      </c>
      <c r="P45" t="s">
        <v>407</v>
      </c>
      <c r="Q45" s="221">
        <f>[16]pil!I1286</f>
        <v>58.421999999999997</v>
      </c>
    </row>
    <row r="46" spans="1:17" x14ac:dyDescent="0.25">
      <c r="L46">
        <v>15</v>
      </c>
      <c r="M46">
        <v>27</v>
      </c>
      <c r="N46"/>
      <c r="O46">
        <v>3</v>
      </c>
      <c r="P46" t="s">
        <v>421</v>
      </c>
      <c r="Q46" s="221">
        <f>[16]pil!I1287</f>
        <v>-56.881999999999998</v>
      </c>
    </row>
    <row r="47" spans="1:17" x14ac:dyDescent="0.25">
      <c r="L47">
        <v>15</v>
      </c>
      <c r="M47">
        <v>27</v>
      </c>
      <c r="N47"/>
      <c r="O47">
        <v>2</v>
      </c>
      <c r="P47" t="s">
        <v>407</v>
      </c>
      <c r="Q47" s="221">
        <f>[16]pil!I1290</f>
        <v>66.331000000000003</v>
      </c>
    </row>
    <row r="48" spans="1:17" x14ac:dyDescent="0.25">
      <c r="L48">
        <v>15</v>
      </c>
      <c r="M48">
        <v>27</v>
      </c>
      <c r="N48"/>
      <c r="O48">
        <v>2</v>
      </c>
      <c r="P48" t="s">
        <v>421</v>
      </c>
      <c r="Q48" s="221">
        <f>[16]pil!I1291</f>
        <v>-68.114000000000004</v>
      </c>
    </row>
    <row r="49" spans="2:24" x14ac:dyDescent="0.25">
      <c r="L49">
        <v>15</v>
      </c>
      <c r="M49">
        <v>27</v>
      </c>
      <c r="N49"/>
      <c r="O49">
        <v>1</v>
      </c>
      <c r="P49" t="s">
        <v>407</v>
      </c>
      <c r="Q49" s="221">
        <f>[16]pil!I1294</f>
        <v>52.783999999999999</v>
      </c>
    </row>
    <row r="50" spans="2:24" x14ac:dyDescent="0.25">
      <c r="L50">
        <v>15</v>
      </c>
      <c r="M50">
        <v>27</v>
      </c>
      <c r="N50"/>
      <c r="O50">
        <v>1</v>
      </c>
      <c r="P50" t="s">
        <v>421</v>
      </c>
      <c r="Q50" s="221">
        <f>[16]pil!I1295</f>
        <v>-63.713999999999999</v>
      </c>
    </row>
    <row r="54" spans="2:24" x14ac:dyDescent="0.25">
      <c r="B54" s="218" t="s">
        <v>417</v>
      </c>
    </row>
    <row r="56" spans="2:24" x14ac:dyDescent="0.25">
      <c r="B56" s="220" t="s">
        <v>404</v>
      </c>
      <c r="C56" s="220" t="s">
        <v>413</v>
      </c>
      <c r="D56" s="220" t="s">
        <v>414</v>
      </c>
      <c r="E56" s="220" t="s">
        <v>406</v>
      </c>
      <c r="F56" s="220"/>
      <c r="G56" s="218" t="str">
        <f>[16]tra!$I$1</f>
        <v>Fy</v>
      </c>
      <c r="O56" s="220" t="s">
        <v>404</v>
      </c>
      <c r="P56" s="220" t="s">
        <v>413</v>
      </c>
      <c r="Q56" s="220" t="s">
        <v>414</v>
      </c>
      <c r="R56" s="220" t="s">
        <v>406</v>
      </c>
      <c r="S56" s="220"/>
      <c r="T56" s="218" t="str">
        <f>[16]tra!$I$1</f>
        <v>Fy</v>
      </c>
    </row>
    <row r="57" spans="2:24" x14ac:dyDescent="0.25">
      <c r="B57" s="220">
        <v>9</v>
      </c>
      <c r="C57" s="220">
        <v>1</v>
      </c>
      <c r="D57" s="220">
        <v>2</v>
      </c>
      <c r="E57" s="220">
        <v>6</v>
      </c>
      <c r="F57" s="220" t="s">
        <v>415</v>
      </c>
      <c r="G57" s="218">
        <f>[16]tra!I458</f>
        <v>28.632999999999999</v>
      </c>
      <c r="H57" s="218">
        <v>6</v>
      </c>
      <c r="I57" s="218">
        <f>MAX(ABS(G57:G58))</f>
        <v>28.632999999999999</v>
      </c>
      <c r="J57" s="218">
        <v>6</v>
      </c>
      <c r="K57" s="218">
        <f>MAX(I57,I69)</f>
        <v>31.629000000000001</v>
      </c>
      <c r="O57" s="220">
        <v>15</v>
      </c>
      <c r="P57" s="220">
        <v>24</v>
      </c>
      <c r="Q57" s="220">
        <v>25</v>
      </c>
      <c r="R57" s="220">
        <v>6</v>
      </c>
      <c r="S57" s="220" t="s">
        <v>415</v>
      </c>
      <c r="T57" s="218">
        <f>[16]tra!I866</f>
        <v>24.373999999999999</v>
      </c>
      <c r="U57" s="218">
        <v>6</v>
      </c>
      <c r="V57" s="218">
        <f>MAX(ABS(T57:T58))</f>
        <v>24.373999999999999</v>
      </c>
      <c r="X57" s="218">
        <f>MAX(V57,V69,V81)</f>
        <v>40.058999999999997</v>
      </c>
    </row>
    <row r="58" spans="2:24" x14ac:dyDescent="0.25">
      <c r="B58" s="220">
        <v>9</v>
      </c>
      <c r="C58" s="220">
        <v>1</v>
      </c>
      <c r="D58" s="220">
        <v>2</v>
      </c>
      <c r="E58" s="220">
        <v>6</v>
      </c>
      <c r="F58" s="220" t="s">
        <v>416</v>
      </c>
      <c r="G58" s="218">
        <f>[16]tra!I459</f>
        <v>-35.511000000000003</v>
      </c>
      <c r="J58" s="218">
        <v>5</v>
      </c>
      <c r="K58" s="218">
        <f>MAX(I59,I71)</f>
        <v>64.504000000000005</v>
      </c>
      <c r="O58" s="220">
        <v>15</v>
      </c>
      <c r="P58" s="220">
        <v>24</v>
      </c>
      <c r="Q58" s="220">
        <v>25</v>
      </c>
      <c r="R58" s="220">
        <v>6</v>
      </c>
      <c r="S58" s="220" t="s">
        <v>416</v>
      </c>
      <c r="T58" s="218">
        <f>[16]tra!I867</f>
        <v>-29.96</v>
      </c>
      <c r="X58" s="218">
        <f>MAX(V59,V71,V83)</f>
        <v>66.212999999999994</v>
      </c>
    </row>
    <row r="59" spans="2:24" x14ac:dyDescent="0.25">
      <c r="B59" s="220">
        <v>9</v>
      </c>
      <c r="C59" s="220">
        <v>1</v>
      </c>
      <c r="D59" s="220">
        <v>2</v>
      </c>
      <c r="E59" s="220">
        <v>5</v>
      </c>
      <c r="F59" s="220" t="s">
        <v>415</v>
      </c>
      <c r="G59" s="218">
        <f>[16]tra!I462</f>
        <v>55.506</v>
      </c>
      <c r="H59" s="218">
        <v>5</v>
      </c>
      <c r="I59" s="218">
        <f>MAX(ABS(G59:G60))</f>
        <v>55.506</v>
      </c>
      <c r="J59" s="218">
        <v>4</v>
      </c>
      <c r="K59" s="218">
        <f>MAX(I61,I73)</f>
        <v>116.55500000000001</v>
      </c>
      <c r="O59" s="220">
        <v>15</v>
      </c>
      <c r="P59" s="220">
        <v>24</v>
      </c>
      <c r="Q59" s="220">
        <v>25</v>
      </c>
      <c r="R59" s="220">
        <v>5</v>
      </c>
      <c r="S59" s="220" t="s">
        <v>415</v>
      </c>
      <c r="T59" s="218">
        <f>[16]tra!I870</f>
        <v>53.148000000000003</v>
      </c>
      <c r="U59" s="218">
        <v>5</v>
      </c>
      <c r="V59" s="218">
        <f>MAX(ABS(T59:T60))</f>
        <v>53.148000000000003</v>
      </c>
      <c r="X59" s="218">
        <f>MAX(V61,V73,V85)</f>
        <v>120.423</v>
      </c>
    </row>
    <row r="60" spans="2:24" x14ac:dyDescent="0.25">
      <c r="B60" s="220">
        <v>9</v>
      </c>
      <c r="C60" s="220">
        <v>1</v>
      </c>
      <c r="D60" s="220">
        <v>2</v>
      </c>
      <c r="E60" s="220">
        <v>5</v>
      </c>
      <c r="F60" s="220" t="s">
        <v>416</v>
      </c>
      <c r="G60" s="218">
        <f>[16]tra!I463</f>
        <v>-60.78</v>
      </c>
      <c r="J60" s="218">
        <v>3</v>
      </c>
      <c r="K60" s="218">
        <f>MAX(I63,I75)</f>
        <v>148.73500000000001</v>
      </c>
      <c r="O60" s="220">
        <v>15</v>
      </c>
      <c r="P60" s="220">
        <v>24</v>
      </c>
      <c r="Q60" s="220">
        <v>25</v>
      </c>
      <c r="R60" s="220">
        <v>5</v>
      </c>
      <c r="S60" s="220" t="s">
        <v>416</v>
      </c>
      <c r="T60" s="218">
        <f>[16]tra!I871</f>
        <v>-61.051000000000002</v>
      </c>
      <c r="X60" s="218">
        <f>MAX(V63,V75,V87)</f>
        <v>144.90299999999999</v>
      </c>
    </row>
    <row r="61" spans="2:24" x14ac:dyDescent="0.25">
      <c r="B61" s="220">
        <v>9</v>
      </c>
      <c r="C61" s="220">
        <v>1</v>
      </c>
      <c r="D61" s="220">
        <v>2</v>
      </c>
      <c r="E61" s="220">
        <v>4</v>
      </c>
      <c r="F61" s="220" t="s">
        <v>415</v>
      </c>
      <c r="G61" s="218">
        <f>[16]tra!I466</f>
        <v>89.245000000000005</v>
      </c>
      <c r="H61" s="218">
        <v>4</v>
      </c>
      <c r="I61" s="218">
        <f>MAX(ABS(G61:G62))</f>
        <v>89.245000000000005</v>
      </c>
      <c r="J61" s="218">
        <v>2</v>
      </c>
      <c r="K61" s="218">
        <f>MAX(I65,I77)</f>
        <v>177.136</v>
      </c>
      <c r="O61" s="220">
        <v>15</v>
      </c>
      <c r="P61" s="220">
        <v>24</v>
      </c>
      <c r="Q61" s="220">
        <v>25</v>
      </c>
      <c r="R61" s="220">
        <v>4</v>
      </c>
      <c r="S61" s="220" t="s">
        <v>415</v>
      </c>
      <c r="T61" s="218">
        <f>[16]tra!I874</f>
        <v>85.466999999999999</v>
      </c>
      <c r="U61" s="218">
        <v>4</v>
      </c>
      <c r="V61" s="218">
        <f>MAX(ABS(T61:T62))</f>
        <v>85.466999999999999</v>
      </c>
      <c r="X61" s="218">
        <f>MAX(V65,V77,V89)</f>
        <v>164.01900000000001</v>
      </c>
    </row>
    <row r="62" spans="2:24" x14ac:dyDescent="0.25">
      <c r="B62" s="220">
        <v>9</v>
      </c>
      <c r="C62" s="220">
        <v>1</v>
      </c>
      <c r="D62" s="220">
        <v>2</v>
      </c>
      <c r="E62" s="220">
        <v>4</v>
      </c>
      <c r="F62" s="220" t="s">
        <v>416</v>
      </c>
      <c r="G62" s="218">
        <f>[16]tra!I467</f>
        <v>-106.43899999999999</v>
      </c>
      <c r="J62" s="218">
        <v>1</v>
      </c>
      <c r="K62" s="218">
        <f>MAX(I67,I79)</f>
        <v>189.227</v>
      </c>
      <c r="O62" s="220">
        <v>15</v>
      </c>
      <c r="P62" s="220">
        <v>24</v>
      </c>
      <c r="Q62" s="220">
        <v>25</v>
      </c>
      <c r="R62" s="220">
        <v>4</v>
      </c>
      <c r="S62" s="220" t="s">
        <v>416</v>
      </c>
      <c r="T62" s="218">
        <f>[16]tra!I875</f>
        <v>-106.622</v>
      </c>
      <c r="X62" s="218">
        <f>MAX(V67,V79,V91)</f>
        <v>170.072</v>
      </c>
    </row>
    <row r="63" spans="2:24" x14ac:dyDescent="0.25">
      <c r="B63" s="220">
        <v>9</v>
      </c>
      <c r="C63" s="220">
        <v>1</v>
      </c>
      <c r="D63" s="220">
        <v>2</v>
      </c>
      <c r="E63" s="220">
        <v>3</v>
      </c>
      <c r="F63" s="220" t="s">
        <v>415</v>
      </c>
      <c r="G63" s="218">
        <f>[16]tra!I470</f>
        <v>108.24299999999999</v>
      </c>
      <c r="H63" s="218">
        <v>3</v>
      </c>
      <c r="I63" s="218">
        <f>MAX(ABS(G63:G64))</f>
        <v>108.24299999999999</v>
      </c>
      <c r="O63" s="220">
        <v>15</v>
      </c>
      <c r="P63" s="220">
        <v>24</v>
      </c>
      <c r="Q63" s="220">
        <v>25</v>
      </c>
      <c r="R63" s="220">
        <v>3</v>
      </c>
      <c r="S63" s="220" t="s">
        <v>415</v>
      </c>
      <c r="T63" s="218">
        <f>[16]tra!I878</f>
        <v>107.896</v>
      </c>
      <c r="U63" s="218">
        <v>3</v>
      </c>
      <c r="V63" s="218">
        <f>MAX(ABS(T63:T64))</f>
        <v>107.896</v>
      </c>
    </row>
    <row r="64" spans="2:24" x14ac:dyDescent="0.25">
      <c r="B64" s="220">
        <v>9</v>
      </c>
      <c r="C64" s="220">
        <v>1</v>
      </c>
      <c r="D64" s="220">
        <v>2</v>
      </c>
      <c r="E64" s="220">
        <v>3</v>
      </c>
      <c r="F64" s="220" t="s">
        <v>416</v>
      </c>
      <c r="G64" s="218">
        <f>[16]tra!I471</f>
        <v>-127.679</v>
      </c>
      <c r="O64" s="220">
        <v>15</v>
      </c>
      <c r="P64" s="220">
        <v>24</v>
      </c>
      <c r="Q64" s="220">
        <v>25</v>
      </c>
      <c r="R64" s="220">
        <v>3</v>
      </c>
      <c r="S64" s="220" t="s">
        <v>416</v>
      </c>
      <c r="T64" s="218">
        <f>[16]tra!I879</f>
        <v>-135.00299999999999</v>
      </c>
    </row>
    <row r="65" spans="2:22" x14ac:dyDescent="0.25">
      <c r="B65" s="220">
        <v>9</v>
      </c>
      <c r="C65" s="220">
        <v>1</v>
      </c>
      <c r="D65" s="220">
        <v>2</v>
      </c>
      <c r="E65" s="220">
        <v>2</v>
      </c>
      <c r="F65" s="220" t="s">
        <v>415</v>
      </c>
      <c r="G65" s="218">
        <f>[16]tra!I474</f>
        <v>123.005</v>
      </c>
      <c r="H65" s="218">
        <v>2</v>
      </c>
      <c r="I65" s="218">
        <f>MAX(ABS(G65:G66))</f>
        <v>123.005</v>
      </c>
      <c r="O65" s="220">
        <v>15</v>
      </c>
      <c r="P65" s="220">
        <v>24</v>
      </c>
      <c r="Q65" s="220">
        <v>25</v>
      </c>
      <c r="R65" s="220">
        <v>2</v>
      </c>
      <c r="S65" s="220" t="s">
        <v>415</v>
      </c>
      <c r="T65" s="218">
        <f>[16]tra!I882</f>
        <v>127.95</v>
      </c>
      <c r="U65" s="218">
        <v>2</v>
      </c>
      <c r="V65" s="218">
        <f>MAX(ABS(T65:T66))</f>
        <v>127.95</v>
      </c>
    </row>
    <row r="66" spans="2:22" x14ac:dyDescent="0.25">
      <c r="B66" s="220">
        <v>9</v>
      </c>
      <c r="C66" s="220">
        <v>1</v>
      </c>
      <c r="D66" s="220">
        <v>2</v>
      </c>
      <c r="E66" s="220">
        <v>2</v>
      </c>
      <c r="F66" s="220" t="s">
        <v>416</v>
      </c>
      <c r="G66" s="218">
        <f>[16]tra!I475</f>
        <v>-143.85499999999999</v>
      </c>
      <c r="O66" s="220">
        <v>15</v>
      </c>
      <c r="P66" s="220">
        <v>24</v>
      </c>
      <c r="Q66" s="220">
        <v>25</v>
      </c>
      <c r="R66" s="220">
        <v>2</v>
      </c>
      <c r="S66" s="220" t="s">
        <v>416</v>
      </c>
      <c r="T66" s="218">
        <f>[16]tra!I883</f>
        <v>-159.93</v>
      </c>
    </row>
    <row r="67" spans="2:22" x14ac:dyDescent="0.25">
      <c r="B67" s="220">
        <v>9</v>
      </c>
      <c r="C67" s="220">
        <v>1</v>
      </c>
      <c r="D67" s="220">
        <v>2</v>
      </c>
      <c r="E67" s="220">
        <v>1</v>
      </c>
      <c r="F67" s="220" t="s">
        <v>415</v>
      </c>
      <c r="G67" s="218">
        <f>[16]tra!I478</f>
        <v>120.613</v>
      </c>
      <c r="H67" s="218">
        <v>1</v>
      </c>
      <c r="I67" s="218">
        <f>MAX(ABS(G67:G68))</f>
        <v>120.613</v>
      </c>
      <c r="O67" s="220">
        <v>15</v>
      </c>
      <c r="P67" s="220">
        <v>24</v>
      </c>
      <c r="Q67" s="220">
        <v>25</v>
      </c>
      <c r="R67" s="220">
        <v>1</v>
      </c>
      <c r="S67" s="220" t="s">
        <v>415</v>
      </c>
      <c r="T67" s="218">
        <f>[16]tra!I886</f>
        <v>126.09399999999999</v>
      </c>
      <c r="U67" s="218">
        <v>1</v>
      </c>
      <c r="V67" s="218">
        <f>MAX(ABS(T67:T68))</f>
        <v>126.09399999999999</v>
      </c>
    </row>
    <row r="68" spans="2:22" x14ac:dyDescent="0.25">
      <c r="B68" s="220">
        <v>9</v>
      </c>
      <c r="C68" s="220">
        <v>1</v>
      </c>
      <c r="D68" s="220">
        <v>2</v>
      </c>
      <c r="E68" s="220">
        <v>1</v>
      </c>
      <c r="F68" s="220" t="s">
        <v>416</v>
      </c>
      <c r="G68" s="218">
        <f>[16]tra!I479</f>
        <v>-146.79</v>
      </c>
      <c r="O68" s="220">
        <v>15</v>
      </c>
      <c r="P68" s="220">
        <v>24</v>
      </c>
      <c r="Q68" s="220">
        <v>25</v>
      </c>
      <c r="R68" s="220">
        <v>1</v>
      </c>
      <c r="S68" s="220" t="s">
        <v>416</v>
      </c>
      <c r="T68" s="218">
        <f>[16]tra!I887</f>
        <v>-166.65700000000001</v>
      </c>
    </row>
    <row r="69" spans="2:22" x14ac:dyDescent="0.25">
      <c r="B69" s="220">
        <v>9</v>
      </c>
      <c r="C69" s="220">
        <v>2</v>
      </c>
      <c r="D69" s="220">
        <v>3</v>
      </c>
      <c r="E69" s="220">
        <v>6</v>
      </c>
      <c r="F69" s="220" t="s">
        <v>415</v>
      </c>
      <c r="G69" s="218">
        <f>[16]tra!I482</f>
        <v>31.629000000000001</v>
      </c>
      <c r="H69" s="218">
        <v>6</v>
      </c>
      <c r="I69" s="218">
        <f>MAX(ABS(G69:G70))</f>
        <v>31.629000000000001</v>
      </c>
      <c r="O69" s="220">
        <v>15</v>
      </c>
      <c r="P69" s="220">
        <v>25</v>
      </c>
      <c r="Q69" s="220">
        <v>26</v>
      </c>
      <c r="R69" s="220">
        <v>6</v>
      </c>
      <c r="S69" s="220" t="s">
        <v>415</v>
      </c>
      <c r="T69" s="218">
        <f>[16]tra!I890</f>
        <v>40.058999999999997</v>
      </c>
      <c r="U69" s="218">
        <v>6</v>
      </c>
      <c r="V69" s="218">
        <f>MAX(ABS(T69:T70))</f>
        <v>40.058999999999997</v>
      </c>
    </row>
    <row r="70" spans="2:22" x14ac:dyDescent="0.25">
      <c r="B70" s="220">
        <v>9</v>
      </c>
      <c r="C70" s="220">
        <v>2</v>
      </c>
      <c r="D70" s="220">
        <v>3</v>
      </c>
      <c r="E70" s="220">
        <v>6</v>
      </c>
      <c r="F70" s="220" t="s">
        <v>416</v>
      </c>
      <c r="G70" s="218">
        <f>[16]tra!I483</f>
        <v>-24.989000000000001</v>
      </c>
      <c r="O70" s="220">
        <v>15</v>
      </c>
      <c r="P70" s="220">
        <v>25</v>
      </c>
      <c r="Q70" s="220">
        <v>26</v>
      </c>
      <c r="R70" s="220">
        <v>6</v>
      </c>
      <c r="S70" s="220" t="s">
        <v>416</v>
      </c>
      <c r="T70" s="218">
        <f>[16]tra!I891</f>
        <v>-39.927999999999997</v>
      </c>
    </row>
    <row r="71" spans="2:22" x14ac:dyDescent="0.25">
      <c r="B71" s="220">
        <v>9</v>
      </c>
      <c r="C71" s="220">
        <v>2</v>
      </c>
      <c r="D71" s="220">
        <v>3</v>
      </c>
      <c r="E71" s="220">
        <v>5</v>
      </c>
      <c r="F71" s="220" t="s">
        <v>415</v>
      </c>
      <c r="G71" s="218">
        <f>[16]tra!I486</f>
        <v>64.504000000000005</v>
      </c>
      <c r="H71" s="218">
        <v>5</v>
      </c>
      <c r="I71" s="218">
        <f>MAX(ABS(G71:G72))</f>
        <v>64.504000000000005</v>
      </c>
      <c r="O71" s="220">
        <v>15</v>
      </c>
      <c r="P71" s="220">
        <v>25</v>
      </c>
      <c r="Q71" s="220">
        <v>26</v>
      </c>
      <c r="R71" s="220">
        <v>5</v>
      </c>
      <c r="S71" s="220" t="s">
        <v>415</v>
      </c>
      <c r="T71" s="218">
        <f>[16]tra!I894</f>
        <v>66.212999999999994</v>
      </c>
      <c r="U71" s="218">
        <v>5</v>
      </c>
      <c r="V71" s="218">
        <f>MAX(ABS(T71:T72))</f>
        <v>66.212999999999994</v>
      </c>
    </row>
    <row r="72" spans="2:22" x14ac:dyDescent="0.25">
      <c r="B72" s="220">
        <v>9</v>
      </c>
      <c r="C72" s="220">
        <v>2</v>
      </c>
      <c r="D72" s="220">
        <v>3</v>
      </c>
      <c r="E72" s="220">
        <v>5</v>
      </c>
      <c r="F72" s="220" t="s">
        <v>416</v>
      </c>
      <c r="G72" s="218">
        <f>[16]tra!I487</f>
        <v>-55.57</v>
      </c>
      <c r="O72" s="220">
        <v>15</v>
      </c>
      <c r="P72" s="220">
        <v>25</v>
      </c>
      <c r="Q72" s="220">
        <v>26</v>
      </c>
      <c r="R72" s="220">
        <v>5</v>
      </c>
      <c r="S72" s="220" t="s">
        <v>416</v>
      </c>
      <c r="T72" s="218">
        <f>[16]tra!I895</f>
        <v>-66.311000000000007</v>
      </c>
    </row>
    <row r="73" spans="2:22" x14ac:dyDescent="0.25">
      <c r="B73" s="220">
        <v>9</v>
      </c>
      <c r="C73" s="220">
        <v>2</v>
      </c>
      <c r="D73" s="220">
        <v>3</v>
      </c>
      <c r="E73" s="220">
        <v>4</v>
      </c>
      <c r="F73" s="220" t="s">
        <v>415</v>
      </c>
      <c r="G73" s="218">
        <f>[16]tra!I490</f>
        <v>116.55500000000001</v>
      </c>
      <c r="H73" s="218">
        <v>4</v>
      </c>
      <c r="I73" s="218">
        <f>MAX(ABS(G73:G74))</f>
        <v>116.55500000000001</v>
      </c>
      <c r="O73" s="220">
        <v>15</v>
      </c>
      <c r="P73" s="220">
        <v>25</v>
      </c>
      <c r="Q73" s="220">
        <v>26</v>
      </c>
      <c r="R73" s="220">
        <v>4</v>
      </c>
      <c r="S73" s="220" t="s">
        <v>415</v>
      </c>
      <c r="T73" s="218">
        <f>[16]tra!I898</f>
        <v>120.423</v>
      </c>
      <c r="U73" s="218">
        <v>4</v>
      </c>
      <c r="V73" s="218">
        <f>MAX(ABS(T73:T74))</f>
        <v>120.423</v>
      </c>
    </row>
    <row r="74" spans="2:22" x14ac:dyDescent="0.25">
      <c r="B74" s="220">
        <v>9</v>
      </c>
      <c r="C74" s="220">
        <v>2</v>
      </c>
      <c r="D74" s="220">
        <v>3</v>
      </c>
      <c r="E74" s="220">
        <v>4</v>
      </c>
      <c r="F74" s="220" t="s">
        <v>416</v>
      </c>
      <c r="G74" s="218">
        <f>[16]tra!I491</f>
        <v>-90.856999999999999</v>
      </c>
      <c r="O74" s="220">
        <v>15</v>
      </c>
      <c r="P74" s="220">
        <v>25</v>
      </c>
      <c r="Q74" s="220">
        <v>26</v>
      </c>
      <c r="R74" s="220">
        <v>4</v>
      </c>
      <c r="S74" s="220" t="s">
        <v>416</v>
      </c>
      <c r="T74" s="218">
        <f>[16]tra!I899</f>
        <v>-120.626</v>
      </c>
    </row>
    <row r="75" spans="2:22" x14ac:dyDescent="0.25">
      <c r="B75" s="220">
        <v>9</v>
      </c>
      <c r="C75" s="220">
        <v>2</v>
      </c>
      <c r="D75" s="220">
        <v>3</v>
      </c>
      <c r="E75" s="220">
        <v>3</v>
      </c>
      <c r="F75" s="220" t="s">
        <v>415</v>
      </c>
      <c r="G75" s="218">
        <f>[16]tra!I494</f>
        <v>148.73500000000001</v>
      </c>
      <c r="H75" s="218">
        <v>3</v>
      </c>
      <c r="I75" s="218">
        <f>MAX(ABS(G75:G76))</f>
        <v>148.73500000000001</v>
      </c>
      <c r="O75" s="220">
        <v>15</v>
      </c>
      <c r="P75" s="220">
        <v>25</v>
      </c>
      <c r="Q75" s="220">
        <v>26</v>
      </c>
      <c r="R75" s="220">
        <v>3</v>
      </c>
      <c r="S75" s="220" t="s">
        <v>415</v>
      </c>
      <c r="T75" s="218">
        <f>[16]tra!I902</f>
        <v>144.90299999999999</v>
      </c>
      <c r="U75" s="218">
        <v>3</v>
      </c>
      <c r="V75" s="218">
        <f>MAX(ABS(T75:T76))</f>
        <v>144.90299999999999</v>
      </c>
    </row>
    <row r="76" spans="2:22" x14ac:dyDescent="0.25">
      <c r="B76" s="220">
        <v>9</v>
      </c>
      <c r="C76" s="220">
        <v>2</v>
      </c>
      <c r="D76" s="220">
        <v>3</v>
      </c>
      <c r="E76" s="220">
        <v>3</v>
      </c>
      <c r="F76" s="220" t="s">
        <v>416</v>
      </c>
      <c r="G76" s="218">
        <f>[16]tra!I495</f>
        <v>-115.736</v>
      </c>
      <c r="O76" s="220">
        <v>15</v>
      </c>
      <c r="P76" s="220">
        <v>25</v>
      </c>
      <c r="Q76" s="220">
        <v>26</v>
      </c>
      <c r="R76" s="220">
        <v>3</v>
      </c>
      <c r="S76" s="220" t="s">
        <v>416</v>
      </c>
      <c r="T76" s="218">
        <f>[16]tra!I903</f>
        <v>-145.358</v>
      </c>
    </row>
    <row r="77" spans="2:22" x14ac:dyDescent="0.25">
      <c r="B77" s="220">
        <v>9</v>
      </c>
      <c r="C77" s="220">
        <v>2</v>
      </c>
      <c r="D77" s="220">
        <v>3</v>
      </c>
      <c r="E77" s="220">
        <v>2</v>
      </c>
      <c r="F77" s="220" t="s">
        <v>415</v>
      </c>
      <c r="G77" s="218">
        <f>[16]tra!I498</f>
        <v>177.136</v>
      </c>
      <c r="H77" s="218">
        <v>2</v>
      </c>
      <c r="I77" s="218">
        <f>MAX(ABS(G77:G78))</f>
        <v>177.136</v>
      </c>
      <c r="O77" s="220">
        <v>15</v>
      </c>
      <c r="P77" s="220">
        <v>25</v>
      </c>
      <c r="Q77" s="220">
        <v>26</v>
      </c>
      <c r="R77" s="220">
        <v>2</v>
      </c>
      <c r="S77" s="220" t="s">
        <v>415</v>
      </c>
      <c r="T77" s="218">
        <f>[16]tra!I906</f>
        <v>164.01900000000001</v>
      </c>
      <c r="U77" s="218">
        <v>2</v>
      </c>
      <c r="V77" s="218">
        <f>MAX(ABS(T77:T78))</f>
        <v>164.01900000000001</v>
      </c>
    </row>
    <row r="78" spans="2:22" x14ac:dyDescent="0.25">
      <c r="B78" s="220">
        <v>9</v>
      </c>
      <c r="C78" s="220">
        <v>2</v>
      </c>
      <c r="D78" s="220">
        <v>3</v>
      </c>
      <c r="E78" s="220">
        <v>2</v>
      </c>
      <c r="F78" s="220" t="s">
        <v>416</v>
      </c>
      <c r="G78" s="218">
        <f>[16]tra!I499</f>
        <v>-138.27199999999999</v>
      </c>
      <c r="O78" s="220">
        <v>15</v>
      </c>
      <c r="P78" s="220">
        <v>25</v>
      </c>
      <c r="Q78" s="220">
        <v>26</v>
      </c>
      <c r="R78" s="220">
        <v>2</v>
      </c>
      <c r="S78" s="220" t="s">
        <v>416</v>
      </c>
      <c r="T78" s="218">
        <f>[16]tra!I907</f>
        <v>-164.66399999999999</v>
      </c>
    </row>
    <row r="79" spans="2:22" x14ac:dyDescent="0.25">
      <c r="B79" s="220">
        <v>9</v>
      </c>
      <c r="C79" s="220">
        <v>2</v>
      </c>
      <c r="D79" s="220">
        <v>3</v>
      </c>
      <c r="E79" s="220">
        <v>1</v>
      </c>
      <c r="F79" s="220" t="s">
        <v>415</v>
      </c>
      <c r="G79" s="218">
        <f>[16]tra!I502</f>
        <v>189.227</v>
      </c>
      <c r="H79" s="218">
        <v>1</v>
      </c>
      <c r="I79" s="218">
        <f>MAX(ABS(G79:G80))</f>
        <v>189.227</v>
      </c>
      <c r="O79" s="220">
        <v>15</v>
      </c>
      <c r="P79" s="220">
        <v>25</v>
      </c>
      <c r="Q79" s="220">
        <v>26</v>
      </c>
      <c r="R79" s="220">
        <v>1</v>
      </c>
      <c r="S79" s="220" t="s">
        <v>415</v>
      </c>
      <c r="T79" s="218">
        <f>[16]tra!I910</f>
        <v>170.072</v>
      </c>
      <c r="U79" s="218">
        <v>1</v>
      </c>
      <c r="V79" s="218">
        <f>MAX(ABS(T79:T80))</f>
        <v>170.072</v>
      </c>
    </row>
    <row r="80" spans="2:22" x14ac:dyDescent="0.25">
      <c r="B80" s="220">
        <v>9</v>
      </c>
      <c r="C80" s="220">
        <v>2</v>
      </c>
      <c r="D80" s="220">
        <v>3</v>
      </c>
      <c r="E80" s="220">
        <v>1</v>
      </c>
      <c r="F80" s="220" t="s">
        <v>416</v>
      </c>
      <c r="G80" s="218">
        <f>[16]tra!I503</f>
        <v>-137.96600000000001</v>
      </c>
      <c r="O80" s="220">
        <v>15</v>
      </c>
      <c r="P80" s="220">
        <v>25</v>
      </c>
      <c r="Q80" s="220">
        <v>26</v>
      </c>
      <c r="R80" s="220">
        <v>1</v>
      </c>
      <c r="S80" s="220" t="s">
        <v>416</v>
      </c>
      <c r="T80" s="218">
        <f>[16]tra!I911</f>
        <v>-171.15199999999999</v>
      </c>
    </row>
    <row r="81" spans="15:22" x14ac:dyDescent="0.25">
      <c r="O81" s="220">
        <v>15</v>
      </c>
      <c r="P81" s="220">
        <v>26</v>
      </c>
      <c r="Q81" s="220">
        <v>27</v>
      </c>
      <c r="R81" s="220">
        <v>6</v>
      </c>
      <c r="S81" s="220" t="s">
        <v>415</v>
      </c>
      <c r="T81" s="218">
        <f>[16]tra!I914</f>
        <v>30.696999999999999</v>
      </c>
      <c r="U81" s="218">
        <v>6</v>
      </c>
      <c r="V81" s="218">
        <f>MAX(ABS(T81:T82))</f>
        <v>30.696999999999999</v>
      </c>
    </row>
    <row r="82" spans="15:22" x14ac:dyDescent="0.25">
      <c r="O82" s="220">
        <v>15</v>
      </c>
      <c r="P82" s="220">
        <v>26</v>
      </c>
      <c r="Q82" s="220">
        <v>27</v>
      </c>
      <c r="R82" s="220">
        <v>6</v>
      </c>
      <c r="S82" s="220" t="s">
        <v>416</v>
      </c>
      <c r="T82" s="218">
        <f>[16]tra!I915</f>
        <v>-25.234000000000002</v>
      </c>
    </row>
    <row r="83" spans="15:22" x14ac:dyDescent="0.25">
      <c r="O83" s="220">
        <v>15</v>
      </c>
      <c r="P83" s="220">
        <v>26</v>
      </c>
      <c r="Q83" s="220">
        <v>27</v>
      </c>
      <c r="R83" s="220">
        <v>5</v>
      </c>
      <c r="S83" s="220" t="s">
        <v>415</v>
      </c>
      <c r="T83" s="218">
        <f>[16]tra!I918</f>
        <v>59.33</v>
      </c>
      <c r="U83" s="218">
        <v>5</v>
      </c>
      <c r="V83" s="218">
        <f>MAX(ABS(T83:T84))</f>
        <v>59.33</v>
      </c>
    </row>
    <row r="84" spans="15:22" x14ac:dyDescent="0.25">
      <c r="O84" s="220">
        <v>15</v>
      </c>
      <c r="P84" s="220">
        <v>26</v>
      </c>
      <c r="Q84" s="220">
        <v>27</v>
      </c>
      <c r="R84" s="220">
        <v>5</v>
      </c>
      <c r="S84" s="220" t="s">
        <v>416</v>
      </c>
      <c r="T84" s="218">
        <f>[16]tra!I919</f>
        <v>-52.720999999999997</v>
      </c>
    </row>
    <row r="85" spans="15:22" x14ac:dyDescent="0.25">
      <c r="O85" s="220">
        <v>15</v>
      </c>
      <c r="P85" s="220">
        <v>26</v>
      </c>
      <c r="Q85" s="220">
        <v>27</v>
      </c>
      <c r="R85" s="220">
        <v>4</v>
      </c>
      <c r="S85" s="220" t="s">
        <v>415</v>
      </c>
      <c r="T85" s="218">
        <f>[16]tra!I922</f>
        <v>102.895</v>
      </c>
      <c r="U85" s="218">
        <v>4</v>
      </c>
      <c r="V85" s="218">
        <f>MAX(ABS(T85:T86))</f>
        <v>102.895</v>
      </c>
    </row>
    <row r="86" spans="15:22" x14ac:dyDescent="0.25">
      <c r="O86" s="220">
        <v>15</v>
      </c>
      <c r="P86" s="220">
        <v>26</v>
      </c>
      <c r="Q86" s="220">
        <v>27</v>
      </c>
      <c r="R86" s="220">
        <v>4</v>
      </c>
      <c r="S86" s="220" t="s">
        <v>416</v>
      </c>
      <c r="T86" s="218">
        <f>[16]tra!I923</f>
        <v>-84.534999999999997</v>
      </c>
    </row>
    <row r="87" spans="15:22" x14ac:dyDescent="0.25">
      <c r="O87" s="220">
        <v>15</v>
      </c>
      <c r="P87" s="220">
        <v>26</v>
      </c>
      <c r="Q87" s="220">
        <v>27</v>
      </c>
      <c r="R87" s="220">
        <v>3</v>
      </c>
      <c r="S87" s="220" t="s">
        <v>415</v>
      </c>
      <c r="T87" s="218">
        <f>[16]tra!I926</f>
        <v>127.97499999999999</v>
      </c>
      <c r="U87" s="218">
        <v>3</v>
      </c>
      <c r="V87" s="218">
        <f>MAX(ABS(T87:T88))</f>
        <v>127.97499999999999</v>
      </c>
    </row>
    <row r="88" spans="15:22" x14ac:dyDescent="0.25">
      <c r="O88" s="220">
        <v>15</v>
      </c>
      <c r="P88" s="220">
        <v>26</v>
      </c>
      <c r="Q88" s="220">
        <v>27</v>
      </c>
      <c r="R88" s="220">
        <v>3</v>
      </c>
      <c r="S88" s="220" t="s">
        <v>416</v>
      </c>
      <c r="T88" s="218">
        <f>[16]tra!I927</f>
        <v>-105.149</v>
      </c>
    </row>
    <row r="89" spans="15:22" x14ac:dyDescent="0.25">
      <c r="O89" s="220">
        <v>15</v>
      </c>
      <c r="P89" s="220">
        <v>26</v>
      </c>
      <c r="Q89" s="220">
        <v>27</v>
      </c>
      <c r="R89" s="220">
        <v>2</v>
      </c>
      <c r="S89" s="220" t="s">
        <v>415</v>
      </c>
      <c r="T89" s="218">
        <f>[16]tra!I930</f>
        <v>149.108</v>
      </c>
      <c r="U89" s="218">
        <v>2</v>
      </c>
      <c r="V89" s="218">
        <f>MAX(ABS(T89:T90))</f>
        <v>149.108</v>
      </c>
    </row>
    <row r="90" spans="15:22" x14ac:dyDescent="0.25">
      <c r="O90" s="220">
        <v>15</v>
      </c>
      <c r="P90" s="220">
        <v>26</v>
      </c>
      <c r="Q90" s="220">
        <v>27</v>
      </c>
      <c r="R90" s="220">
        <v>2</v>
      </c>
      <c r="S90" s="220" t="s">
        <v>416</v>
      </c>
      <c r="T90" s="218">
        <f>[16]tra!I931</f>
        <v>-122.84</v>
      </c>
    </row>
    <row r="91" spans="15:22" x14ac:dyDescent="0.25">
      <c r="O91" s="220">
        <v>15</v>
      </c>
      <c r="P91" s="220">
        <v>26</v>
      </c>
      <c r="Q91" s="220">
        <v>27</v>
      </c>
      <c r="R91" s="220">
        <v>1</v>
      </c>
      <c r="S91" s="220" t="s">
        <v>415</v>
      </c>
      <c r="T91" s="218">
        <f>[16]tra!I934</f>
        <v>153.97900000000001</v>
      </c>
      <c r="U91" s="218">
        <v>1</v>
      </c>
      <c r="V91" s="218">
        <f>MAX(ABS(T91:T92))</f>
        <v>153.97900000000001</v>
      </c>
    </row>
    <row r="92" spans="15:22" x14ac:dyDescent="0.25">
      <c r="O92" s="220">
        <v>15</v>
      </c>
      <c r="P92" s="220">
        <v>26</v>
      </c>
      <c r="Q92" s="220">
        <v>27</v>
      </c>
      <c r="R92" s="220">
        <v>1</v>
      </c>
      <c r="S92" s="220" t="s">
        <v>416</v>
      </c>
      <c r="T92" s="218">
        <f>[16]tra!I935</f>
        <v>-120.681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R377"/>
  <sheetViews>
    <sheetView topLeftCell="R19" zoomScale="85" zoomScaleNormal="85" workbookViewId="0">
      <selection activeCell="AH42" sqref="AH42"/>
    </sheetView>
  </sheetViews>
  <sheetFormatPr defaultRowHeight="15" x14ac:dyDescent="0.25"/>
  <cols>
    <col min="1" max="1" width="19.140625" style="91" customWidth="1"/>
    <col min="2" max="2" width="15.5703125" style="43" customWidth="1"/>
    <col min="3" max="3" width="13.85546875" style="43" customWidth="1"/>
    <col min="4" max="4" width="18.28515625" style="43" customWidth="1"/>
    <col min="5" max="5" width="14.7109375" style="43" customWidth="1"/>
    <col min="6" max="6" width="9.140625" style="43"/>
    <col min="7" max="7" width="18.85546875" style="43" customWidth="1"/>
    <col min="8" max="8" width="21.28515625" style="43" customWidth="1"/>
    <col min="9" max="11" width="9.140625" style="43"/>
    <col min="12" max="12" width="20.140625" style="43" customWidth="1"/>
    <col min="13" max="13" width="16.42578125" style="43" customWidth="1"/>
    <col min="14" max="21" width="9.140625" style="43"/>
    <col min="22" max="23" width="9.140625" style="91"/>
    <col min="24" max="24" width="16.140625" style="100" customWidth="1"/>
    <col min="25" max="25" width="16.28515625" style="134" customWidth="1"/>
    <col min="26" max="26" width="11.42578125" style="91" bestFit="1" customWidth="1"/>
    <col min="27" max="27" width="11.42578125" style="134" bestFit="1" customWidth="1"/>
    <col min="28" max="28" width="11.42578125" style="91" bestFit="1" customWidth="1"/>
    <col min="29" max="29" width="9.140625" style="134"/>
    <col min="30" max="30" width="9.140625" style="91"/>
    <col min="31" max="31" width="18.28515625" style="134" customWidth="1"/>
    <col min="32" max="36" width="9.140625" style="91"/>
    <col min="37" max="37" width="16.28515625" style="91" customWidth="1"/>
    <col min="38" max="48" width="9.140625" style="91"/>
    <col min="49" max="49" width="18.7109375" style="43" customWidth="1"/>
    <col min="50" max="54" width="9.140625" style="43"/>
    <col min="55" max="55" width="16" style="43" customWidth="1"/>
    <col min="56" max="60" width="9.140625" style="43"/>
    <col min="61" max="61" width="16.140625" style="43" customWidth="1"/>
    <col min="62" max="72" width="9.140625" style="43"/>
    <col min="73" max="73" width="18.7109375" style="43" customWidth="1"/>
    <col min="74" max="78" width="9.140625" style="43"/>
    <col min="79" max="79" width="17.7109375" style="43" customWidth="1"/>
    <col min="80" max="84" width="9.140625" style="43"/>
    <col min="85" max="85" width="16.42578125" style="43" customWidth="1"/>
    <col min="86" max="96" width="9.140625" style="43"/>
    <col min="97" max="16384" width="9.140625" style="91"/>
  </cols>
  <sheetData>
    <row r="1" spans="1:34" x14ac:dyDescent="0.25">
      <c r="C1" s="55" t="s">
        <v>110</v>
      </c>
      <c r="D1" s="56" t="s">
        <v>81</v>
      </c>
    </row>
    <row r="2" spans="1:34" x14ac:dyDescent="0.25">
      <c r="B2" s="57" t="s">
        <v>76</v>
      </c>
      <c r="C2" s="43" t="s">
        <v>93</v>
      </c>
      <c r="H2" s="43" t="s">
        <v>93</v>
      </c>
      <c r="L2" s="43" t="s">
        <v>93</v>
      </c>
      <c r="Q2" s="43" t="s">
        <v>93</v>
      </c>
      <c r="Y2" s="135" t="s">
        <v>255</v>
      </c>
    </row>
    <row r="3" spans="1:34" x14ac:dyDescent="0.25">
      <c r="B3" s="43" t="s">
        <v>88</v>
      </c>
      <c r="C3" s="44">
        <v>6</v>
      </c>
      <c r="H3" s="43" t="s">
        <v>95</v>
      </c>
      <c r="L3" s="43" t="s">
        <v>96</v>
      </c>
      <c r="Q3" s="44">
        <v>1</v>
      </c>
      <c r="Y3" s="135">
        <v>6</v>
      </c>
      <c r="Z3" s="100"/>
      <c r="AA3" s="135">
        <v>5</v>
      </c>
      <c r="AB3" s="100"/>
      <c r="AC3" s="142" t="s">
        <v>96</v>
      </c>
      <c r="AD3" s="100"/>
      <c r="AE3" s="135">
        <v>1</v>
      </c>
    </row>
    <row r="4" spans="1:34" x14ac:dyDescent="0.25">
      <c r="B4" s="43" t="s">
        <v>51</v>
      </c>
      <c r="C4" s="44" t="s">
        <v>37</v>
      </c>
      <c r="D4" s="43" t="s">
        <v>39</v>
      </c>
      <c r="E4" s="43" t="s">
        <v>92</v>
      </c>
      <c r="F4" s="58" t="s">
        <v>91</v>
      </c>
      <c r="G4" s="43" t="s">
        <v>51</v>
      </c>
      <c r="H4" s="43" t="s">
        <v>37</v>
      </c>
      <c r="I4" s="43" t="s">
        <v>39</v>
      </c>
      <c r="J4" s="43" t="s">
        <v>92</v>
      </c>
      <c r="K4" s="58" t="s">
        <v>91</v>
      </c>
      <c r="L4" s="43" t="s">
        <v>51</v>
      </c>
      <c r="M4" s="43" t="s">
        <v>37</v>
      </c>
      <c r="N4" s="43" t="s">
        <v>39</v>
      </c>
      <c r="O4" s="43" t="s">
        <v>92</v>
      </c>
      <c r="P4" s="58" t="s">
        <v>91</v>
      </c>
      <c r="Q4" s="43" t="s">
        <v>51</v>
      </c>
      <c r="R4" s="43" t="s">
        <v>37</v>
      </c>
      <c r="S4" s="43" t="s">
        <v>39</v>
      </c>
      <c r="T4" s="43" t="s">
        <v>92</v>
      </c>
      <c r="U4" s="58" t="s">
        <v>91</v>
      </c>
      <c r="Y4" s="74" t="s">
        <v>92</v>
      </c>
      <c r="Z4" s="58" t="s">
        <v>91</v>
      </c>
      <c r="AA4" s="74" t="s">
        <v>92</v>
      </c>
      <c r="AB4" s="58" t="s">
        <v>91</v>
      </c>
      <c r="AC4" s="74" t="s">
        <v>92</v>
      </c>
      <c r="AD4" s="58" t="s">
        <v>91</v>
      </c>
      <c r="AE4" s="74" t="s">
        <v>92</v>
      </c>
      <c r="AF4" s="58" t="s">
        <v>91</v>
      </c>
    </row>
    <row r="5" spans="1:34" x14ac:dyDescent="0.25">
      <c r="A5" s="91" t="s">
        <v>56</v>
      </c>
      <c r="F5" s="46"/>
      <c r="G5" s="43">
        <v>0.5</v>
      </c>
      <c r="H5" s="43">
        <f>G5*'analisi dei carichi'!O28</f>
        <v>2.5777999999999999</v>
      </c>
      <c r="I5" s="43">
        <f>G5*'analisi dei carichi'!P28</f>
        <v>3.4711399999999997</v>
      </c>
      <c r="J5" s="43">
        <f>'analisi dei carichi'!K28*G5</f>
        <v>4.9711400000000001</v>
      </c>
      <c r="K5" s="46">
        <f>'analisi dei carichi'!N28*G5</f>
        <v>2.8777999999999997</v>
      </c>
      <c r="L5" s="43">
        <v>0.5</v>
      </c>
      <c r="M5" s="43">
        <f t="shared" ref="M5:U5" si="0">H5</f>
        <v>2.5777999999999999</v>
      </c>
      <c r="N5" s="43">
        <f t="shared" si="0"/>
        <v>3.4711399999999997</v>
      </c>
      <c r="O5" s="43">
        <f t="shared" si="0"/>
        <v>4.9711400000000001</v>
      </c>
      <c r="P5" s="46">
        <f t="shared" si="0"/>
        <v>2.8777999999999997</v>
      </c>
      <c r="Q5" s="43">
        <f t="shared" si="0"/>
        <v>0.5</v>
      </c>
      <c r="R5" s="43">
        <f t="shared" si="0"/>
        <v>2.5777999999999999</v>
      </c>
      <c r="S5" s="43">
        <f t="shared" si="0"/>
        <v>3.4711399999999997</v>
      </c>
      <c r="T5" s="43">
        <f t="shared" si="0"/>
        <v>4.9711400000000001</v>
      </c>
      <c r="U5" s="43">
        <f t="shared" si="0"/>
        <v>2.8777999999999997</v>
      </c>
      <c r="W5" s="100" t="s">
        <v>282</v>
      </c>
      <c r="X5" s="103" t="str">
        <f>B3</f>
        <v>3-7</v>
      </c>
      <c r="Y5" s="74">
        <f>E12</f>
        <v>9.6615000000000002</v>
      </c>
      <c r="Z5" s="132">
        <f>F12</f>
        <v>6.8550000000000004</v>
      </c>
      <c r="AA5" s="74">
        <f>J12</f>
        <v>15.505040000000001</v>
      </c>
      <c r="AB5" s="132">
        <f>K12</f>
        <v>10.9808</v>
      </c>
      <c r="AC5" s="74">
        <f>O12</f>
        <v>16.480040000000002</v>
      </c>
      <c r="AD5" s="132">
        <f>P12</f>
        <v>11.7308</v>
      </c>
      <c r="AE5" s="74">
        <f>T12</f>
        <v>16.480040000000002</v>
      </c>
      <c r="AF5" s="132">
        <f>U12</f>
        <v>11.7308</v>
      </c>
    </row>
    <row r="6" spans="1:34" x14ac:dyDescent="0.25">
      <c r="A6" s="91" t="s">
        <v>340</v>
      </c>
      <c r="B6" s="43">
        <v>1</v>
      </c>
      <c r="C6" s="43">
        <f>'analisi dei carichi'!E38*B6</f>
        <v>3.9</v>
      </c>
      <c r="D6" s="43">
        <f>'analisi dei carichi'!H38*B6</f>
        <v>5.07</v>
      </c>
      <c r="E6" s="43">
        <f>B6*'analisi dei carichi'!K38</f>
        <v>5.82</v>
      </c>
      <c r="F6" s="46">
        <f>'analisi dei carichi'!N38*B6</f>
        <v>3.9</v>
      </c>
      <c r="K6" s="46"/>
      <c r="P6" s="46"/>
      <c r="R6" s="54"/>
      <c r="U6" s="46"/>
      <c r="X6" s="103" t="str">
        <f>B14</f>
        <v>7-11</v>
      </c>
      <c r="Y6" s="74">
        <f>E22</f>
        <v>6.4595000000000002</v>
      </c>
      <c r="Z6" s="132">
        <f>F22</f>
        <v>4.1149999999999993</v>
      </c>
      <c r="AA6" s="74">
        <f>J22</f>
        <v>7.1941400000000009</v>
      </c>
      <c r="AB6" s="132">
        <f>K22</f>
        <v>4.5877999999999997</v>
      </c>
      <c r="AC6" s="74">
        <f>O22</f>
        <v>7.1941400000000009</v>
      </c>
      <c r="AD6" s="132">
        <f>P22</f>
        <v>4.5877999999999997</v>
      </c>
      <c r="AE6" s="74">
        <f>T22</f>
        <v>7.1941400000000009</v>
      </c>
      <c r="AF6" s="132">
        <f>U22</f>
        <v>4.5877999999999997</v>
      </c>
      <c r="AG6" s="43"/>
      <c r="AH6" s="43"/>
    </row>
    <row r="7" spans="1:34" x14ac:dyDescent="0.25">
      <c r="A7" s="91" t="s">
        <v>77</v>
      </c>
      <c r="F7" s="46"/>
      <c r="K7" s="46"/>
      <c r="P7" s="46"/>
      <c r="R7" s="54"/>
      <c r="U7" s="46"/>
      <c r="X7" s="104" t="str">
        <f>B26</f>
        <v>15-19</v>
      </c>
      <c r="Y7" s="74">
        <f>E34</f>
        <v>27.305280799999998</v>
      </c>
      <c r="Z7" s="124">
        <f>F34</f>
        <v>14.306599999999996</v>
      </c>
      <c r="AA7" s="74">
        <f>J34</f>
        <v>33.997680799999998</v>
      </c>
      <c r="AB7" s="124">
        <f>K34</f>
        <v>21.718255999999997</v>
      </c>
      <c r="AC7" s="74">
        <f>O34</f>
        <v>34.972680799999999</v>
      </c>
      <c r="AD7" s="124">
        <f>P34</f>
        <v>22.468255999999997</v>
      </c>
      <c r="AE7" s="74">
        <f>T34</f>
        <v>34.972680799999999</v>
      </c>
      <c r="AF7" s="124">
        <f>U34</f>
        <v>22.468255999999997</v>
      </c>
    </row>
    <row r="8" spans="1:34" x14ac:dyDescent="0.25">
      <c r="A8" s="91" t="s">
        <v>78</v>
      </c>
      <c r="B8" s="43">
        <v>1</v>
      </c>
      <c r="C8" s="43">
        <f>'analisi dei carichi'!E37*B8</f>
        <v>2.9550000000000001</v>
      </c>
      <c r="D8" s="43">
        <f>'analisi dei carichi'!H37*B8</f>
        <v>3.8415000000000004</v>
      </c>
      <c r="E8" s="43">
        <f>D8</f>
        <v>3.8415000000000004</v>
      </c>
      <c r="F8" s="46">
        <f>C8</f>
        <v>2.9550000000000001</v>
      </c>
      <c r="G8" s="43">
        <v>1</v>
      </c>
      <c r="H8" s="43">
        <f>C8</f>
        <v>2.9550000000000001</v>
      </c>
      <c r="I8" s="43">
        <f>D8</f>
        <v>3.8415000000000004</v>
      </c>
      <c r="J8" s="43">
        <f>E8</f>
        <v>3.8415000000000004</v>
      </c>
      <c r="K8" s="46">
        <f>F8</f>
        <v>2.9550000000000001</v>
      </c>
      <c r="L8" s="43">
        <v>1</v>
      </c>
      <c r="M8" s="43">
        <f>'analisi dei carichi'!E30</f>
        <v>3.7050000000000001</v>
      </c>
      <c r="N8" s="43">
        <f>'analisi dei carichi'!H30</f>
        <v>4.8165000000000004</v>
      </c>
      <c r="O8" s="43">
        <f>N8</f>
        <v>4.8165000000000004</v>
      </c>
      <c r="P8" s="46">
        <f>M8</f>
        <v>3.7050000000000001</v>
      </c>
      <c r="Q8" s="43">
        <f>L8</f>
        <v>1</v>
      </c>
      <c r="R8" s="43">
        <f>M8</f>
        <v>3.7050000000000001</v>
      </c>
      <c r="S8" s="43">
        <f>N8</f>
        <v>4.8165000000000004</v>
      </c>
      <c r="T8" s="43">
        <f>O8</f>
        <v>4.8165000000000004</v>
      </c>
      <c r="U8" s="43">
        <f>P8</f>
        <v>3.7050000000000001</v>
      </c>
      <c r="X8" s="104" t="str">
        <f>B37</f>
        <v>19-23</v>
      </c>
      <c r="Y8" s="74">
        <f>E45</f>
        <v>8.0779999999999994</v>
      </c>
      <c r="Z8" s="124">
        <f>F45</f>
        <v>5.3599999999999994</v>
      </c>
      <c r="AA8" s="74">
        <f>J45</f>
        <v>8.81264</v>
      </c>
      <c r="AB8" s="124">
        <f>K45</f>
        <v>5.8327999999999998</v>
      </c>
      <c r="AC8" s="74">
        <f>O45</f>
        <v>9.7876399999999997</v>
      </c>
      <c r="AD8" s="124">
        <f>P45</f>
        <v>6.5827999999999998</v>
      </c>
      <c r="AE8" s="74">
        <f>T45</f>
        <v>9.7876399999999997</v>
      </c>
      <c r="AF8" s="124">
        <f>U45</f>
        <v>6.5827999999999998</v>
      </c>
    </row>
    <row r="9" spans="1:34" x14ac:dyDescent="0.25">
      <c r="A9" s="91" t="s">
        <v>79</v>
      </c>
      <c r="F9" s="46"/>
      <c r="K9" s="46"/>
      <c r="P9" s="46"/>
      <c r="R9" s="54"/>
      <c r="U9" s="46"/>
      <c r="X9" s="104" t="str">
        <f>B48</f>
        <v>23-27</v>
      </c>
      <c r="Y9" s="74">
        <f>E56</f>
        <v>9.6615000000000002</v>
      </c>
      <c r="Z9" s="124">
        <f>F56</f>
        <v>6.8550000000000004</v>
      </c>
      <c r="AA9" s="74">
        <f>J56</f>
        <v>15.505040000000001</v>
      </c>
      <c r="AB9" s="124">
        <f>K56</f>
        <v>11.012840000000001</v>
      </c>
      <c r="AC9" s="74">
        <f>O56</f>
        <v>16.480040000000002</v>
      </c>
      <c r="AD9" s="124">
        <f>P56</f>
        <v>11.762840000000001</v>
      </c>
      <c r="AE9" s="74">
        <f>T56</f>
        <v>16.480040000000002</v>
      </c>
      <c r="AF9" s="124">
        <f>U56</f>
        <v>11.762840000000001</v>
      </c>
    </row>
    <row r="10" spans="1:34" x14ac:dyDescent="0.25">
      <c r="A10" s="91" t="s">
        <v>80</v>
      </c>
      <c r="F10" s="46"/>
      <c r="G10" s="43">
        <v>0.9</v>
      </c>
      <c r="H10" s="43">
        <f>M10</f>
        <v>5.1480000000000006</v>
      </c>
      <c r="I10" s="43">
        <f>N10</f>
        <v>6.692400000000001</v>
      </c>
      <c r="J10" s="43">
        <f>O10</f>
        <v>6.692400000000001</v>
      </c>
      <c r="K10" s="46">
        <f>P10</f>
        <v>5.1480000000000006</v>
      </c>
      <c r="L10" s="43">
        <v>0.9</v>
      </c>
      <c r="M10" s="43">
        <f>'analisi dei carichi'!E29*L10</f>
        <v>5.1480000000000006</v>
      </c>
      <c r="N10" s="43">
        <f>'analisi dei carichi'!H29*L10</f>
        <v>6.692400000000001</v>
      </c>
      <c r="O10" s="43">
        <f>N10</f>
        <v>6.692400000000001</v>
      </c>
      <c r="P10" s="46">
        <f>M10</f>
        <v>5.1480000000000006</v>
      </c>
      <c r="Q10" s="43">
        <f>L10</f>
        <v>0.9</v>
      </c>
      <c r="R10" s="43">
        <f>M10</f>
        <v>5.1480000000000006</v>
      </c>
      <c r="S10" s="43">
        <f>N10</f>
        <v>6.692400000000001</v>
      </c>
      <c r="T10" s="43">
        <f>O10</f>
        <v>6.692400000000001</v>
      </c>
      <c r="U10" s="43">
        <f>P10</f>
        <v>5.1480000000000006</v>
      </c>
      <c r="X10" s="212" t="s">
        <v>256</v>
      </c>
      <c r="Y10" s="203">
        <f>E68</f>
        <v>10.696</v>
      </c>
      <c r="Z10" s="213">
        <f>F68</f>
        <v>6.5199999999999987</v>
      </c>
      <c r="AA10" s="203">
        <f>J68</f>
        <v>12.165280000000001</v>
      </c>
      <c r="AB10" s="213">
        <f>K68</f>
        <v>7.4655999999999993</v>
      </c>
      <c r="AC10" s="203">
        <f>O68</f>
        <v>12.165280000000001</v>
      </c>
      <c r="AD10" s="213">
        <f>P68</f>
        <v>7.4655999999999993</v>
      </c>
      <c r="AE10" s="203">
        <f>T68</f>
        <v>12.165280000000001</v>
      </c>
      <c r="AF10" s="214">
        <f>U68</f>
        <v>7.4655999999999993</v>
      </c>
    </row>
    <row r="11" spans="1:34" x14ac:dyDescent="0.25">
      <c r="F11" s="49"/>
      <c r="G11" s="48"/>
      <c r="H11" s="48"/>
      <c r="I11" s="48"/>
      <c r="J11" s="48"/>
      <c r="K11" s="49"/>
      <c r="L11" s="59"/>
      <c r="M11" s="48"/>
      <c r="N11" s="48"/>
      <c r="O11" s="48"/>
      <c r="P11" s="49"/>
      <c r="Q11" s="59"/>
      <c r="R11" s="48"/>
      <c r="S11" s="48"/>
      <c r="T11" s="48"/>
      <c r="U11" s="49"/>
      <c r="X11" s="215" t="s">
        <v>257</v>
      </c>
      <c r="Y11" s="139">
        <f>Y10</f>
        <v>10.696</v>
      </c>
      <c r="Z11" s="216">
        <f t="shared" ref="Z11:AF11" si="1">Z10</f>
        <v>6.5199999999999987</v>
      </c>
      <c r="AA11" s="139">
        <f t="shared" si="1"/>
        <v>12.165280000000001</v>
      </c>
      <c r="AB11" s="216">
        <f t="shared" si="1"/>
        <v>7.4655999999999993</v>
      </c>
      <c r="AC11" s="139">
        <f t="shared" si="1"/>
        <v>12.165280000000001</v>
      </c>
      <c r="AD11" s="216">
        <f t="shared" si="1"/>
        <v>7.4655999999999993</v>
      </c>
      <c r="AE11" s="139">
        <f t="shared" si="1"/>
        <v>12.165280000000001</v>
      </c>
      <c r="AF11" s="217">
        <f t="shared" si="1"/>
        <v>7.4655999999999993</v>
      </c>
    </row>
    <row r="12" spans="1:34" x14ac:dyDescent="0.25">
      <c r="A12" s="91" t="s">
        <v>55</v>
      </c>
      <c r="C12" s="45">
        <f>SUM(C6:C11)</f>
        <v>6.8550000000000004</v>
      </c>
      <c r="D12" s="45">
        <f>SUM(D6:D9)</f>
        <v>8.9115000000000002</v>
      </c>
      <c r="E12" s="45">
        <f>SUM(E6:E8)</f>
        <v>9.6615000000000002</v>
      </c>
      <c r="F12" s="45">
        <f>SUM(F6:F8)</f>
        <v>6.8550000000000004</v>
      </c>
      <c r="H12" s="43">
        <f>SUM(H5:H10)</f>
        <v>10.680800000000001</v>
      </c>
      <c r="I12" s="43">
        <f>SUM(I5:I10)</f>
        <v>14.005040000000001</v>
      </c>
      <c r="J12" s="43">
        <f>SUM(J5:J10)</f>
        <v>15.505040000000001</v>
      </c>
      <c r="K12" s="43">
        <f>SUM(K5:K10)</f>
        <v>10.9808</v>
      </c>
      <c r="M12" s="43">
        <f>SUM(M5:M10)</f>
        <v>11.430800000000001</v>
      </c>
      <c r="N12" s="43">
        <f>SUM(N5:N10)</f>
        <v>14.980040000000001</v>
      </c>
      <c r="O12" s="43">
        <f>SUM(O5:O10)</f>
        <v>16.480040000000002</v>
      </c>
      <c r="P12" s="43">
        <f>SUM(P5:P10)</f>
        <v>11.7308</v>
      </c>
      <c r="R12" s="43">
        <f>SUM(R5:R11)</f>
        <v>11.430800000000001</v>
      </c>
      <c r="S12" s="43">
        <f>SUM(S5:S11)</f>
        <v>14.980040000000001</v>
      </c>
      <c r="T12" s="43">
        <f>SUM(T5:T11)</f>
        <v>16.480040000000002</v>
      </c>
      <c r="U12" s="43">
        <f>SUM(U5:U11)</f>
        <v>11.7308</v>
      </c>
      <c r="X12" s="105" t="str">
        <f>B72</f>
        <v>14-18</v>
      </c>
      <c r="Y12" s="74">
        <f>E80</f>
        <v>51.303657333333334</v>
      </c>
      <c r="Z12" s="127">
        <f>F80</f>
        <v>31.891613333333325</v>
      </c>
      <c r="AA12" s="74">
        <f>J80</f>
        <v>55.34123877333333</v>
      </c>
      <c r="AB12" s="127">
        <f>K80</f>
        <v>34.49012213333333</v>
      </c>
      <c r="AC12" s="74">
        <f>O80</f>
        <v>56.316238773333325</v>
      </c>
      <c r="AD12" s="127">
        <f>P80</f>
        <v>35.24012213333333</v>
      </c>
      <c r="AE12" s="74">
        <f>T80</f>
        <v>56.316238773333325</v>
      </c>
      <c r="AF12" s="127">
        <f>U80</f>
        <v>35.24012213333333</v>
      </c>
    </row>
    <row r="13" spans="1:34" x14ac:dyDescent="0.25">
      <c r="B13" s="57" t="s">
        <v>76</v>
      </c>
      <c r="C13" s="43" t="s">
        <v>93</v>
      </c>
      <c r="H13" s="43" t="s">
        <v>93</v>
      </c>
      <c r="L13" s="43" t="s">
        <v>93</v>
      </c>
      <c r="Q13" s="43" t="s">
        <v>93</v>
      </c>
      <c r="X13" s="106" t="s">
        <v>258</v>
      </c>
      <c r="Y13" s="74">
        <f>E91</f>
        <v>10.696</v>
      </c>
      <c r="Z13" s="127">
        <f>F91</f>
        <v>6.5199999999999987</v>
      </c>
      <c r="AA13" s="74">
        <f>J91</f>
        <v>12.165280000000001</v>
      </c>
      <c r="AB13" s="127">
        <f>K91</f>
        <v>7.4655999999999993</v>
      </c>
      <c r="AC13" s="74">
        <f>O91</f>
        <v>12.165280000000001</v>
      </c>
      <c r="AD13" s="127">
        <f>P91</f>
        <v>7.4655999999999993</v>
      </c>
      <c r="AE13" s="74">
        <f>T91</f>
        <v>12.165280000000001</v>
      </c>
      <c r="AF13" s="127">
        <f>U91</f>
        <v>7.4655999999999993</v>
      </c>
    </row>
    <row r="14" spans="1:34" x14ac:dyDescent="0.25">
      <c r="B14" s="43" t="s">
        <v>97</v>
      </c>
      <c r="C14" s="44">
        <v>6</v>
      </c>
      <c r="H14" s="43" t="s">
        <v>95</v>
      </c>
      <c r="L14" s="43" t="s">
        <v>96</v>
      </c>
      <c r="Q14" s="44">
        <v>1</v>
      </c>
      <c r="X14" s="106" t="s">
        <v>259</v>
      </c>
      <c r="Y14" s="74">
        <f>Y13</f>
        <v>10.696</v>
      </c>
      <c r="Z14" s="127">
        <f t="shared" ref="Z14:AF14" si="2">Z13</f>
        <v>6.5199999999999987</v>
      </c>
      <c r="AA14" s="74">
        <f t="shared" si="2"/>
        <v>12.165280000000001</v>
      </c>
      <c r="AB14" s="127">
        <f t="shared" si="2"/>
        <v>7.4655999999999993</v>
      </c>
      <c r="AC14" s="74">
        <f t="shared" si="2"/>
        <v>12.165280000000001</v>
      </c>
      <c r="AD14" s="127">
        <f t="shared" si="2"/>
        <v>7.4655999999999993</v>
      </c>
      <c r="AE14" s="74">
        <f t="shared" si="2"/>
        <v>12.165280000000001</v>
      </c>
      <c r="AF14" s="127">
        <f t="shared" si="2"/>
        <v>7.4655999999999993</v>
      </c>
    </row>
    <row r="15" spans="1:34" x14ac:dyDescent="0.25">
      <c r="B15" s="43" t="s">
        <v>51</v>
      </c>
      <c r="C15" s="43" t="s">
        <v>37</v>
      </c>
      <c r="D15" s="43" t="s">
        <v>39</v>
      </c>
      <c r="E15" s="43" t="s">
        <v>92</v>
      </c>
      <c r="F15" s="58" t="s">
        <v>91</v>
      </c>
      <c r="G15" s="43" t="s">
        <v>51</v>
      </c>
      <c r="H15" s="43" t="s">
        <v>37</v>
      </c>
      <c r="I15" s="43" t="s">
        <v>39</v>
      </c>
      <c r="J15" s="43" t="s">
        <v>92</v>
      </c>
      <c r="K15" s="58" t="s">
        <v>91</v>
      </c>
      <c r="L15" s="43" t="s">
        <v>51</v>
      </c>
      <c r="M15" s="43" t="s">
        <v>37</v>
      </c>
      <c r="N15" s="43" t="s">
        <v>39</v>
      </c>
      <c r="O15" s="43" t="s">
        <v>92</v>
      </c>
      <c r="P15" s="58" t="s">
        <v>91</v>
      </c>
      <c r="Q15" s="43" t="s">
        <v>51</v>
      </c>
      <c r="R15" s="43" t="s">
        <v>37</v>
      </c>
      <c r="S15" s="43" t="s">
        <v>39</v>
      </c>
      <c r="T15" s="43" t="s">
        <v>92</v>
      </c>
      <c r="U15" s="58" t="s">
        <v>91</v>
      </c>
      <c r="X15" s="107" t="s">
        <v>260</v>
      </c>
      <c r="Y15" s="74">
        <f>E103</f>
        <v>10.696</v>
      </c>
      <c r="Z15" s="122">
        <f>F103</f>
        <v>6.5199999999999987</v>
      </c>
      <c r="AA15" s="74">
        <f>J103</f>
        <v>12.165280000000001</v>
      </c>
      <c r="AB15" s="122">
        <f>K103</f>
        <v>7.4655999999999993</v>
      </c>
      <c r="AC15" s="74">
        <f>O103</f>
        <v>12.165280000000001</v>
      </c>
      <c r="AD15" s="122">
        <f>P103</f>
        <v>7.4655999999999993</v>
      </c>
      <c r="AE15" s="74">
        <f>T103</f>
        <v>12.165280000000001</v>
      </c>
      <c r="AF15" s="122">
        <f>U103</f>
        <v>7.4655999999999993</v>
      </c>
    </row>
    <row r="16" spans="1:34" x14ac:dyDescent="0.25">
      <c r="A16" s="91" t="s">
        <v>56</v>
      </c>
      <c r="B16" s="43">
        <v>0.5</v>
      </c>
      <c r="C16" s="43">
        <f>'analisi dei carichi'!E35*B16</f>
        <v>2.1049999999999995</v>
      </c>
      <c r="D16" s="43">
        <f>B16*'analisi dei carichi'!H35</f>
        <v>2.7364999999999995</v>
      </c>
      <c r="E16" s="43">
        <f>B16*'analisi dei carichi'!K35</f>
        <v>4.2364999999999995</v>
      </c>
      <c r="F16" s="46">
        <f>B16*'analisi dei carichi'!N35</f>
        <v>2.4049999999999994</v>
      </c>
      <c r="G16" s="43">
        <f>G5</f>
        <v>0.5</v>
      </c>
      <c r="H16" s="43">
        <f>H5</f>
        <v>2.5777999999999999</v>
      </c>
      <c r="I16" s="43">
        <f>I5</f>
        <v>3.4711399999999997</v>
      </c>
      <c r="J16" s="43">
        <f>J5</f>
        <v>4.9711400000000001</v>
      </c>
      <c r="K16" s="46">
        <f>K5</f>
        <v>2.8777999999999997</v>
      </c>
      <c r="L16" s="43">
        <v>0.5</v>
      </c>
      <c r="M16" s="43">
        <f t="shared" ref="M16:U16" si="3">H16</f>
        <v>2.5777999999999999</v>
      </c>
      <c r="N16" s="43">
        <f t="shared" si="3"/>
        <v>3.4711399999999997</v>
      </c>
      <c r="O16" s="43">
        <f t="shared" si="3"/>
        <v>4.9711400000000001</v>
      </c>
      <c r="P16" s="46">
        <f t="shared" si="3"/>
        <v>2.8777999999999997</v>
      </c>
      <c r="Q16" s="43">
        <f t="shared" si="3"/>
        <v>0.5</v>
      </c>
      <c r="R16" s="43">
        <f t="shared" si="3"/>
        <v>2.5777999999999999</v>
      </c>
      <c r="S16" s="43">
        <f t="shared" si="3"/>
        <v>3.4711399999999997</v>
      </c>
      <c r="T16" s="43">
        <f t="shared" si="3"/>
        <v>4.9711400000000001</v>
      </c>
      <c r="U16" s="43">
        <f t="shared" si="3"/>
        <v>2.8777999999999997</v>
      </c>
      <c r="X16" s="108" t="str">
        <f>B106</f>
        <v>13-17</v>
      </c>
      <c r="Y16" s="74">
        <f>E114</f>
        <v>30.186253333333333</v>
      </c>
      <c r="Z16" s="122">
        <f>F114</f>
        <v>20.051733333333331</v>
      </c>
      <c r="AA16" s="74">
        <f>J114</f>
        <v>27.276253333333337</v>
      </c>
      <c r="AB16" s="122">
        <f>K114</f>
        <v>18.101733333333332</v>
      </c>
      <c r="AC16" s="74">
        <f>O114</f>
        <v>28.251253333333338</v>
      </c>
      <c r="AD16" s="122">
        <f>P114</f>
        <v>18.851733333333332</v>
      </c>
      <c r="AE16" s="74">
        <f>T114</f>
        <v>28.251253333333338</v>
      </c>
      <c r="AF16" s="122">
        <f>U114</f>
        <v>18.851733333333332</v>
      </c>
    </row>
    <row r="17" spans="1:33" x14ac:dyDescent="0.25">
      <c r="A17" s="170" t="s">
        <v>340</v>
      </c>
      <c r="F17" s="46"/>
      <c r="K17" s="46"/>
      <c r="P17" s="46"/>
      <c r="U17" s="46"/>
      <c r="X17" s="107" t="s">
        <v>261</v>
      </c>
      <c r="Y17" s="74">
        <f>Y15</f>
        <v>10.696</v>
      </c>
      <c r="Z17" s="122">
        <f t="shared" ref="Z17:AF17" si="4">Z15</f>
        <v>6.5199999999999987</v>
      </c>
      <c r="AA17" s="74">
        <f t="shared" si="4"/>
        <v>12.165280000000001</v>
      </c>
      <c r="AB17" s="122">
        <f t="shared" si="4"/>
        <v>7.4655999999999993</v>
      </c>
      <c r="AC17" s="74">
        <f t="shared" si="4"/>
        <v>12.165280000000001</v>
      </c>
      <c r="AD17" s="122">
        <f t="shared" si="4"/>
        <v>7.4655999999999993</v>
      </c>
      <c r="AE17" s="74">
        <f t="shared" si="4"/>
        <v>12.165280000000001</v>
      </c>
      <c r="AF17" s="122">
        <f t="shared" si="4"/>
        <v>7.4655999999999993</v>
      </c>
    </row>
    <row r="18" spans="1:33" x14ac:dyDescent="0.25">
      <c r="A18" s="91" t="s">
        <v>77</v>
      </c>
      <c r="F18" s="46"/>
      <c r="K18" s="46"/>
      <c r="P18" s="46"/>
      <c r="U18" s="46"/>
      <c r="X18" s="107" t="s">
        <v>262</v>
      </c>
      <c r="Y18" s="74">
        <f>Y15</f>
        <v>10.696</v>
      </c>
      <c r="Z18" s="122">
        <f t="shared" ref="Z18:AF18" si="5">Z15</f>
        <v>6.5199999999999987</v>
      </c>
      <c r="AA18" s="74">
        <f t="shared" si="5"/>
        <v>12.165280000000001</v>
      </c>
      <c r="AB18" s="122">
        <f t="shared" si="5"/>
        <v>7.4655999999999993</v>
      </c>
      <c r="AC18" s="74">
        <f t="shared" si="5"/>
        <v>12.165280000000001</v>
      </c>
      <c r="AD18" s="122">
        <f t="shared" si="5"/>
        <v>7.4655999999999993</v>
      </c>
      <c r="AE18" s="74">
        <f t="shared" si="5"/>
        <v>12.165280000000001</v>
      </c>
      <c r="AF18" s="122">
        <f t="shared" si="5"/>
        <v>7.4655999999999993</v>
      </c>
    </row>
    <row r="19" spans="1:33" x14ac:dyDescent="0.25">
      <c r="A19" s="91" t="s">
        <v>78</v>
      </c>
      <c r="G19" s="60"/>
      <c r="L19" s="60"/>
      <c r="P19" s="46"/>
      <c r="U19" s="46"/>
      <c r="X19" s="109" t="str">
        <f>B118</f>
        <v>1-5</v>
      </c>
      <c r="Y19" s="74">
        <f>E126</f>
        <v>9.6615000000000002</v>
      </c>
      <c r="Z19" s="112">
        <f>F126</f>
        <v>6.8550000000000004</v>
      </c>
      <c r="AA19" s="74">
        <f>J126</f>
        <v>15.505040000000001</v>
      </c>
      <c r="AB19" s="112">
        <f>K126</f>
        <v>10.9808</v>
      </c>
      <c r="AC19" s="74">
        <f>O126</f>
        <v>16.480040000000002</v>
      </c>
      <c r="AD19" s="112">
        <f>P126</f>
        <v>11.7308</v>
      </c>
      <c r="AE19" s="74">
        <f>T126</f>
        <v>16.480040000000002</v>
      </c>
      <c r="AF19" s="112">
        <f>U126</f>
        <v>11.7308</v>
      </c>
    </row>
    <row r="20" spans="1:33" x14ac:dyDescent="0.25">
      <c r="A20" s="91" t="s">
        <v>79</v>
      </c>
      <c r="B20" s="43">
        <f>G20</f>
        <v>1</v>
      </c>
      <c r="C20" s="43">
        <f t="shared" ref="C20:F20" si="6">H20</f>
        <v>1.7100000000000002</v>
      </c>
      <c r="D20" s="43">
        <f t="shared" si="6"/>
        <v>2.2230000000000003</v>
      </c>
      <c r="E20" s="43">
        <f t="shared" si="6"/>
        <v>2.2230000000000003</v>
      </c>
      <c r="F20" s="43">
        <f t="shared" si="6"/>
        <v>1.7100000000000002</v>
      </c>
      <c r="G20" s="43">
        <v>1</v>
      </c>
      <c r="H20" s="43">
        <f>G20*'analisi dei carichi'!E31</f>
        <v>1.7100000000000002</v>
      </c>
      <c r="I20" s="43">
        <f>G20*'analisi dei carichi'!H31</f>
        <v>2.2230000000000003</v>
      </c>
      <c r="J20" s="43">
        <f>I20</f>
        <v>2.2230000000000003</v>
      </c>
      <c r="K20" s="46">
        <f>H20</f>
        <v>1.7100000000000002</v>
      </c>
      <c r="L20" s="60">
        <f t="shared" ref="L20:U20" si="7">G20</f>
        <v>1</v>
      </c>
      <c r="M20" s="60">
        <f t="shared" si="7"/>
        <v>1.7100000000000002</v>
      </c>
      <c r="N20" s="60">
        <f t="shared" si="7"/>
        <v>2.2230000000000003</v>
      </c>
      <c r="O20" s="60">
        <f t="shared" si="7"/>
        <v>2.2230000000000003</v>
      </c>
      <c r="P20" s="60">
        <f t="shared" si="7"/>
        <v>1.7100000000000002</v>
      </c>
      <c r="Q20" s="43">
        <f t="shared" si="7"/>
        <v>1</v>
      </c>
      <c r="R20" s="43">
        <f t="shared" si="7"/>
        <v>1.7100000000000002</v>
      </c>
      <c r="S20" s="43">
        <f t="shared" si="7"/>
        <v>2.2230000000000003</v>
      </c>
      <c r="T20" s="43">
        <f t="shared" si="7"/>
        <v>2.2230000000000003</v>
      </c>
      <c r="U20" s="43">
        <f t="shared" si="7"/>
        <v>1.7100000000000002</v>
      </c>
      <c r="X20" s="110" t="s">
        <v>263</v>
      </c>
      <c r="Y20" s="74">
        <f>E138</f>
        <v>9.6615000000000002</v>
      </c>
      <c r="Z20" s="113">
        <f>F138</f>
        <v>6.8550000000000004</v>
      </c>
      <c r="AA20" s="74">
        <f>J138</f>
        <v>15.505040000000001</v>
      </c>
      <c r="AB20" s="113">
        <f>K138</f>
        <v>10.9808</v>
      </c>
      <c r="AC20" s="74">
        <f>O138</f>
        <v>16.480040000000002</v>
      </c>
      <c r="AD20" s="113">
        <f>P138</f>
        <v>11.7308</v>
      </c>
      <c r="AE20" s="74">
        <f>travi!T138</f>
        <v>16.480040000000002</v>
      </c>
      <c r="AF20" s="113">
        <f>travi!U138</f>
        <v>11.7308</v>
      </c>
    </row>
    <row r="21" spans="1:33" x14ac:dyDescent="0.25">
      <c r="A21" s="91" t="s">
        <v>80</v>
      </c>
      <c r="B21" s="48"/>
      <c r="C21" s="48"/>
      <c r="D21" s="48"/>
      <c r="E21" s="48"/>
      <c r="F21" s="49"/>
      <c r="G21" s="59"/>
      <c r="H21" s="48"/>
      <c r="I21" s="48"/>
      <c r="J21" s="48"/>
      <c r="K21" s="48"/>
      <c r="L21" s="59"/>
      <c r="M21" s="48"/>
      <c r="N21" s="48"/>
      <c r="O21" s="48"/>
      <c r="P21" s="49"/>
      <c r="Q21" s="48"/>
      <c r="R21" s="48"/>
      <c r="S21" s="48"/>
      <c r="T21" s="48"/>
      <c r="U21" s="49"/>
      <c r="X21" s="110" t="s">
        <v>264</v>
      </c>
      <c r="Y21" s="74">
        <f>E150</f>
        <v>6.4595000000000002</v>
      </c>
      <c r="Z21" s="113">
        <f>F150</f>
        <v>4.1149999999999993</v>
      </c>
      <c r="AA21" s="74">
        <f>J150</f>
        <v>7.1941400000000009</v>
      </c>
      <c r="AB21" s="113">
        <f>K150</f>
        <v>4.5877999999999997</v>
      </c>
      <c r="AC21" s="74">
        <f>O150</f>
        <v>7.1941400000000009</v>
      </c>
      <c r="AD21" s="113">
        <f>P150</f>
        <v>4.5877999999999997</v>
      </c>
      <c r="AE21" s="74">
        <f>T150</f>
        <v>7.1941400000000009</v>
      </c>
      <c r="AF21" s="113">
        <f>U150</f>
        <v>4.5877999999999997</v>
      </c>
    </row>
    <row r="22" spans="1:33" x14ac:dyDescent="0.25">
      <c r="A22" s="91" t="s">
        <v>55</v>
      </c>
      <c r="C22" s="43">
        <f>SUM(C16:C21)</f>
        <v>3.8149999999999995</v>
      </c>
      <c r="D22" s="43">
        <f t="shared" ref="D22:F22" si="8">SUM(D16:D21)</f>
        <v>4.9595000000000002</v>
      </c>
      <c r="E22" s="43">
        <f t="shared" si="8"/>
        <v>6.4595000000000002</v>
      </c>
      <c r="F22" s="43">
        <f t="shared" si="8"/>
        <v>4.1149999999999993</v>
      </c>
      <c r="H22" s="43">
        <f>SUM(H16:H21)</f>
        <v>4.2877999999999998</v>
      </c>
      <c r="I22" s="43">
        <f>SUM(I16:I21)</f>
        <v>5.69414</v>
      </c>
      <c r="J22" s="43">
        <f>SUM(J16:J21)</f>
        <v>7.1941400000000009</v>
      </c>
      <c r="K22" s="43">
        <f>SUM(K16:K21)</f>
        <v>4.5877999999999997</v>
      </c>
      <c r="M22" s="43">
        <f>SUM(M16:M21)</f>
        <v>4.2877999999999998</v>
      </c>
      <c r="N22" s="43">
        <f>SUM(N16:N21)</f>
        <v>5.69414</v>
      </c>
      <c r="O22" s="43">
        <f>SUM(O16:O21)</f>
        <v>7.1941400000000009</v>
      </c>
      <c r="P22" s="43">
        <f>SUM(P16:P21)</f>
        <v>4.5877999999999997</v>
      </c>
      <c r="R22" s="43">
        <f>SUM(R16:R21)</f>
        <v>4.2877999999999998</v>
      </c>
      <c r="S22" s="43">
        <f>SUM(S16:S21)</f>
        <v>5.69414</v>
      </c>
      <c r="T22" s="43">
        <f>SUM(T16:T21)</f>
        <v>7.1941400000000009</v>
      </c>
      <c r="U22" s="43">
        <f>SUM(U16:U21)</f>
        <v>4.5877999999999997</v>
      </c>
      <c r="X22" s="111" t="s">
        <v>265</v>
      </c>
      <c r="Y22" s="74">
        <f>E150</f>
        <v>6.4595000000000002</v>
      </c>
      <c r="Z22" s="114">
        <f>F150</f>
        <v>4.1149999999999993</v>
      </c>
      <c r="AA22" s="74">
        <f t="shared" ref="AA22:AF22" si="9">AA21</f>
        <v>7.1941400000000009</v>
      </c>
      <c r="AB22" s="114">
        <f t="shared" si="9"/>
        <v>4.5877999999999997</v>
      </c>
      <c r="AC22" s="74">
        <f t="shared" si="9"/>
        <v>7.1941400000000009</v>
      </c>
      <c r="AD22" s="114">
        <f t="shared" si="9"/>
        <v>4.5877999999999997</v>
      </c>
      <c r="AE22" s="74">
        <f t="shared" si="9"/>
        <v>7.1941400000000009</v>
      </c>
      <c r="AF22" s="114">
        <f t="shared" si="9"/>
        <v>4.5877999999999997</v>
      </c>
    </row>
    <row r="23" spans="1:33" x14ac:dyDescent="0.25">
      <c r="X23" s="111" t="s">
        <v>266</v>
      </c>
      <c r="Y23" s="74">
        <f>Y20</f>
        <v>9.6615000000000002</v>
      </c>
      <c r="Z23" s="114">
        <f t="shared" ref="Z23:AF23" si="10">Z20</f>
        <v>6.8550000000000004</v>
      </c>
      <c r="AA23" s="74">
        <f t="shared" si="10"/>
        <v>15.505040000000001</v>
      </c>
      <c r="AB23" s="114">
        <f t="shared" si="10"/>
        <v>10.9808</v>
      </c>
      <c r="AC23" s="74">
        <f t="shared" si="10"/>
        <v>16.480040000000002</v>
      </c>
      <c r="AD23" s="114">
        <f t="shared" si="10"/>
        <v>11.7308</v>
      </c>
      <c r="AE23" s="74">
        <f t="shared" si="10"/>
        <v>16.480040000000002</v>
      </c>
      <c r="AF23" s="114">
        <f t="shared" si="10"/>
        <v>11.7308</v>
      </c>
    </row>
    <row r="24" spans="1:33" x14ac:dyDescent="0.25">
      <c r="C24" s="55" t="s">
        <v>111</v>
      </c>
      <c r="D24" s="62" t="s">
        <v>98</v>
      </c>
      <c r="W24" s="100" t="s">
        <v>281</v>
      </c>
      <c r="X24" s="118" t="str">
        <f>B154</f>
        <v>1-2</v>
      </c>
      <c r="Y24" s="74">
        <f>travi!E162</f>
        <v>29.882789999999996</v>
      </c>
      <c r="Z24" s="119">
        <f>travi!F162</f>
        <v>18.036299999999997</v>
      </c>
      <c r="AA24" s="74">
        <f>J162</f>
        <v>38.419924399999999</v>
      </c>
      <c r="AB24" s="119">
        <f>K162</f>
        <v>24.387788</v>
      </c>
      <c r="AC24" s="74">
        <f>O162</f>
        <v>39.394924400000001</v>
      </c>
      <c r="AD24" s="119">
        <f>P162</f>
        <v>25.137788</v>
      </c>
      <c r="AE24" s="74">
        <f>T162</f>
        <v>39.394924400000001</v>
      </c>
      <c r="AF24" s="119">
        <f>U162</f>
        <v>25.137788</v>
      </c>
    </row>
    <row r="25" spans="1:33" x14ac:dyDescent="0.25">
      <c r="B25" s="57" t="s">
        <v>76</v>
      </c>
      <c r="C25" s="43" t="s">
        <v>93</v>
      </c>
      <c r="H25" s="43" t="s">
        <v>93</v>
      </c>
      <c r="L25" s="43" t="s">
        <v>93</v>
      </c>
      <c r="Q25" s="43" t="s">
        <v>93</v>
      </c>
      <c r="X25" s="118" t="str">
        <f>B165</f>
        <v>2-3</v>
      </c>
      <c r="Y25" s="74">
        <f>E173</f>
        <v>22.638375</v>
      </c>
      <c r="Z25" s="119">
        <f>F173</f>
        <v>13.923749999999997</v>
      </c>
      <c r="AA25" s="74">
        <f>J173</f>
        <v>29.919274999999999</v>
      </c>
      <c r="AB25" s="119">
        <f>K173</f>
        <v>19.466749999999998</v>
      </c>
      <c r="AC25" s="74">
        <f>O173</f>
        <v>30.894275</v>
      </c>
      <c r="AD25" s="119">
        <f>P173</f>
        <v>20.216749999999998</v>
      </c>
      <c r="AE25" s="74">
        <f>T173</f>
        <v>30.894275</v>
      </c>
      <c r="AF25" s="119">
        <f>U173</f>
        <v>20.216749999999998</v>
      </c>
    </row>
    <row r="26" spans="1:33" x14ac:dyDescent="0.25">
      <c r="B26" s="43" t="s">
        <v>99</v>
      </c>
      <c r="C26" s="44">
        <v>6</v>
      </c>
      <c r="H26" s="43" t="s">
        <v>95</v>
      </c>
      <c r="L26" s="43" t="s">
        <v>96</v>
      </c>
      <c r="Q26" s="44">
        <v>1</v>
      </c>
      <c r="X26" s="120" t="str">
        <f>B177</f>
        <v>4-5</v>
      </c>
      <c r="Y26" s="74">
        <f>E185</f>
        <v>25.680024999999993</v>
      </c>
      <c r="Z26" s="65">
        <f>F185</f>
        <v>15.324249999999996</v>
      </c>
      <c r="AA26" s="74">
        <f>J185</f>
        <v>33.769028999999996</v>
      </c>
      <c r="AB26" s="65">
        <f>K185</f>
        <v>21.387329999999999</v>
      </c>
      <c r="AC26" s="74">
        <f>O185</f>
        <v>33.769028999999996</v>
      </c>
      <c r="AD26" s="65">
        <f>P185</f>
        <v>21.387329999999999</v>
      </c>
      <c r="AE26" s="74">
        <f>T185</f>
        <v>33.769028999999996</v>
      </c>
      <c r="AF26" s="65">
        <f>U185</f>
        <v>21.387329999999999</v>
      </c>
    </row>
    <row r="27" spans="1:33" x14ac:dyDescent="0.25">
      <c r="B27" s="43" t="s">
        <v>51</v>
      </c>
      <c r="C27" s="43" t="s">
        <v>37</v>
      </c>
      <c r="D27" s="43" t="s">
        <v>39</v>
      </c>
      <c r="E27" s="43" t="s">
        <v>92</v>
      </c>
      <c r="F27" s="58" t="s">
        <v>91</v>
      </c>
      <c r="G27" s="43" t="s">
        <v>51</v>
      </c>
      <c r="H27" s="43" t="s">
        <v>37</v>
      </c>
      <c r="I27" s="43" t="s">
        <v>39</v>
      </c>
      <c r="J27" s="43" t="s">
        <v>92</v>
      </c>
      <c r="K27" s="58" t="s">
        <v>91</v>
      </c>
      <c r="L27" s="60" t="s">
        <v>51</v>
      </c>
      <c r="M27" s="47" t="s">
        <v>37</v>
      </c>
      <c r="N27" s="47" t="s">
        <v>39</v>
      </c>
      <c r="O27" s="47" t="s">
        <v>92</v>
      </c>
      <c r="P27" s="58" t="s">
        <v>91</v>
      </c>
      <c r="Q27" s="60" t="s">
        <v>51</v>
      </c>
      <c r="R27" s="47" t="s">
        <v>37</v>
      </c>
      <c r="S27" s="47" t="s">
        <v>39</v>
      </c>
      <c r="T27" s="47" t="s">
        <v>92</v>
      </c>
      <c r="U27" s="58" t="s">
        <v>91</v>
      </c>
      <c r="X27" s="121" t="str">
        <f>B188</f>
        <v>5-6</v>
      </c>
      <c r="Y27" s="74">
        <f>E196</f>
        <v>46.199521666666662</v>
      </c>
      <c r="Z27" s="65">
        <f>F196</f>
        <v>27.196016666666662</v>
      </c>
      <c r="AA27" s="74">
        <f>J196</f>
        <v>53.376954466666668</v>
      </c>
      <c r="AB27" s="65">
        <f>K196</f>
        <v>31.815272666666662</v>
      </c>
      <c r="AC27" s="74">
        <f>O196</f>
        <v>54.351954466666662</v>
      </c>
      <c r="AD27" s="65">
        <f>P196</f>
        <v>32.565272666666658</v>
      </c>
      <c r="AE27" s="74">
        <f>T196</f>
        <v>54.351954466666662</v>
      </c>
      <c r="AF27" s="65">
        <f>U196</f>
        <v>32.565272666666658</v>
      </c>
    </row>
    <row r="28" spans="1:33" x14ac:dyDescent="0.25">
      <c r="A28" s="91" t="s">
        <v>56</v>
      </c>
      <c r="B28" s="43">
        <f>4.72/2*1</f>
        <v>2.36</v>
      </c>
      <c r="C28" s="43">
        <f>B28*'analisi dei carichi'!E35</f>
        <v>9.9355999999999973</v>
      </c>
      <c r="D28" s="43">
        <f>B28*'analisi dei carichi'!H35</f>
        <v>12.916279999999997</v>
      </c>
      <c r="E28" s="43">
        <f>B28*'analisi dei carichi'!K28</f>
        <v>23.463780799999999</v>
      </c>
      <c r="F28" s="46">
        <f>B28*'analisi dei carichi'!N35</f>
        <v>11.351599999999996</v>
      </c>
      <c r="G28" s="43">
        <f>4.72/2</f>
        <v>2.36</v>
      </c>
      <c r="H28" s="43">
        <f>G28*'analisi dei carichi'!O28</f>
        <v>12.167215999999998</v>
      </c>
      <c r="I28" s="43">
        <f>G28*'analisi dei carichi'!K28</f>
        <v>23.463780799999999</v>
      </c>
      <c r="J28" s="43">
        <f>G28*'analisi dei carichi'!K28</f>
        <v>23.463780799999999</v>
      </c>
      <c r="K28" s="46">
        <f>'analisi dei carichi'!N28*travi!G28</f>
        <v>13.583215999999998</v>
      </c>
      <c r="L28" s="60">
        <f t="shared" ref="L28:S28" si="11">G28</f>
        <v>2.36</v>
      </c>
      <c r="M28" s="47">
        <f t="shared" si="11"/>
        <v>12.167215999999998</v>
      </c>
      <c r="N28" s="47">
        <f t="shared" si="11"/>
        <v>23.463780799999999</v>
      </c>
      <c r="O28" s="47">
        <f t="shared" si="11"/>
        <v>23.463780799999999</v>
      </c>
      <c r="P28" s="46">
        <f t="shared" si="11"/>
        <v>13.583215999999998</v>
      </c>
      <c r="Q28" s="60">
        <f t="shared" si="11"/>
        <v>2.36</v>
      </c>
      <c r="R28" s="47">
        <f t="shared" si="11"/>
        <v>12.167215999999998</v>
      </c>
      <c r="S28" s="47">
        <f t="shared" si="11"/>
        <v>23.463780799999999</v>
      </c>
      <c r="T28" s="47">
        <f t="shared" ref="T28:T34" si="12">O28</f>
        <v>23.463780799999999</v>
      </c>
      <c r="U28" s="46">
        <f t="shared" ref="U28:U34" si="13">P28</f>
        <v>13.583215999999998</v>
      </c>
      <c r="X28" s="121" t="str">
        <f>B199</f>
        <v>6-7</v>
      </c>
      <c r="Y28" s="74">
        <f>V201</f>
        <v>30.809071621621616</v>
      </c>
      <c r="Z28" s="65">
        <f>W201</f>
        <v>18.433256756756752</v>
      </c>
      <c r="AA28" s="74">
        <f>AT201</f>
        <v>61.860929837837844</v>
      </c>
      <c r="AB28" s="65">
        <f>AU201</f>
        <v>38.850839999999998</v>
      </c>
      <c r="AC28" s="74">
        <f>BR201</f>
        <v>62.835929837837831</v>
      </c>
      <c r="AD28" s="65">
        <f>BS201</f>
        <v>39.600839999999998</v>
      </c>
      <c r="AE28" s="74">
        <f>CP201</f>
        <v>62.835929837837831</v>
      </c>
      <c r="AF28" s="65">
        <f>CQ201</f>
        <v>39.600839999999998</v>
      </c>
    </row>
    <row r="29" spans="1:33" x14ac:dyDescent="0.25">
      <c r="A29" s="170" t="s">
        <v>340</v>
      </c>
      <c r="B29" s="43">
        <v>0.5</v>
      </c>
      <c r="C29" s="43">
        <f>'analisi dei carichi'!E38*B29</f>
        <v>1.95</v>
      </c>
      <c r="D29" s="43">
        <f>D17</f>
        <v>0</v>
      </c>
      <c r="E29" s="43">
        <f>E17</f>
        <v>0</v>
      </c>
      <c r="F29" s="46">
        <f>F17</f>
        <v>0</v>
      </c>
      <c r="K29" s="46"/>
      <c r="L29" s="60"/>
      <c r="M29" s="47"/>
      <c r="N29" s="47"/>
      <c r="O29" s="47"/>
      <c r="P29" s="46"/>
      <c r="Q29" s="60"/>
      <c r="R29" s="47"/>
      <c r="S29" s="47"/>
      <c r="T29" s="47"/>
      <c r="U29" s="46"/>
      <c r="X29" s="202" t="str">
        <f>B211</f>
        <v>8-9</v>
      </c>
      <c r="Y29" s="203">
        <f>V213</f>
        <v>31.344439705882351</v>
      </c>
      <c r="Z29" s="204">
        <f>W213</f>
        <v>18.752102941176467</v>
      </c>
      <c r="AA29" s="203">
        <f>AT213</f>
        <v>60.805249470588237</v>
      </c>
      <c r="AB29" s="204">
        <f>AU213</f>
        <v>39.193504117647059</v>
      </c>
      <c r="AC29" s="203">
        <f>BR213</f>
        <v>61.780249470588238</v>
      </c>
      <c r="AD29" s="204">
        <f>BS213</f>
        <v>38.908857058823529</v>
      </c>
      <c r="AE29" s="203">
        <f>CP213</f>
        <v>61.780249470588238</v>
      </c>
      <c r="AF29" s="205">
        <f>CQ213</f>
        <v>38.908857058823529</v>
      </c>
    </row>
    <row r="30" spans="1:33" x14ac:dyDescent="0.25">
      <c r="A30" s="91" t="s">
        <v>77</v>
      </c>
      <c r="F30" s="46"/>
      <c r="K30" s="46"/>
      <c r="L30" s="60"/>
      <c r="M30" s="47"/>
      <c r="N30" s="47"/>
      <c r="O30" s="47"/>
      <c r="P30" s="46"/>
      <c r="Q30" s="60"/>
      <c r="R30" s="47"/>
      <c r="S30" s="47"/>
      <c r="T30" s="47"/>
      <c r="U30" s="46"/>
      <c r="X30" s="206" t="str">
        <f>B222</f>
        <v>9-10</v>
      </c>
      <c r="Y30" s="137">
        <f>E230</f>
        <v>43.495139999999999</v>
      </c>
      <c r="Z30" s="207">
        <f>F230</f>
        <v>25.465799999999994</v>
      </c>
      <c r="AA30" s="137">
        <f>J230</f>
        <v>50.371370400000004</v>
      </c>
      <c r="AB30" s="207">
        <f>K230</f>
        <v>29.891207999999999</v>
      </c>
      <c r="AC30" s="137">
        <f>O230</f>
        <v>51.346370399999998</v>
      </c>
      <c r="AD30" s="207">
        <f>P230</f>
        <v>30.641207999999999</v>
      </c>
      <c r="AE30" s="137">
        <f>T230</f>
        <v>51.346370399999998</v>
      </c>
      <c r="AF30" s="208">
        <f>U230</f>
        <v>30.641207999999999</v>
      </c>
    </row>
    <row r="31" spans="1:33" x14ac:dyDescent="0.25">
      <c r="A31" s="91" t="s">
        <v>78</v>
      </c>
      <c r="B31" s="43">
        <v>1</v>
      </c>
      <c r="C31" s="43">
        <f>C8</f>
        <v>2.9550000000000001</v>
      </c>
      <c r="D31" s="43">
        <f>D8</f>
        <v>3.8415000000000004</v>
      </c>
      <c r="E31" s="43">
        <f>E8</f>
        <v>3.8415000000000004</v>
      </c>
      <c r="F31" s="46">
        <f>F8</f>
        <v>2.9550000000000001</v>
      </c>
      <c r="G31" s="43">
        <v>1</v>
      </c>
      <c r="H31" s="43">
        <f>C31</f>
        <v>2.9550000000000001</v>
      </c>
      <c r="I31" s="43">
        <f>I8</f>
        <v>3.8415000000000004</v>
      </c>
      <c r="J31" s="43">
        <f>J8</f>
        <v>3.8415000000000004</v>
      </c>
      <c r="K31" s="46">
        <f>K8</f>
        <v>2.9550000000000001</v>
      </c>
      <c r="L31" s="60">
        <v>1</v>
      </c>
      <c r="M31" s="47">
        <f>L31*'analisi dei carichi'!E30</f>
        <v>3.7050000000000001</v>
      </c>
      <c r="N31" s="47">
        <f>L31*'analisi dei carichi'!H30</f>
        <v>4.8165000000000004</v>
      </c>
      <c r="O31" s="47">
        <f>L31*'analisi dei carichi'!K30</f>
        <v>4.8165000000000004</v>
      </c>
      <c r="P31" s="46">
        <f>L31*'analisi dei carichi'!N30</f>
        <v>3.7050000000000001</v>
      </c>
      <c r="Q31" s="60">
        <f>L31</f>
        <v>1</v>
      </c>
      <c r="R31" s="47">
        <f>M31</f>
        <v>3.7050000000000001</v>
      </c>
      <c r="S31" s="47">
        <f>N31</f>
        <v>4.8165000000000004</v>
      </c>
      <c r="T31" s="47">
        <f t="shared" si="12"/>
        <v>4.8165000000000004</v>
      </c>
      <c r="U31" s="46">
        <f t="shared" si="13"/>
        <v>3.7050000000000001</v>
      </c>
      <c r="X31" s="209" t="str">
        <f>B233</f>
        <v>10-11</v>
      </c>
      <c r="Y31" s="139">
        <f>V235</f>
        <v>33.209372972972965</v>
      </c>
      <c r="Z31" s="210">
        <f>W235</f>
        <v>20.03502702702702</v>
      </c>
      <c r="AA31" s="139">
        <f>AT235</f>
        <v>33.209372972972965</v>
      </c>
      <c r="AB31" s="210">
        <f>AU235</f>
        <v>20.03502702702702</v>
      </c>
      <c r="AC31" s="139">
        <f>BR235</f>
        <v>44.448602378378382</v>
      </c>
      <c r="AD31" s="210">
        <f>BS235</f>
        <v>28.266263783783781</v>
      </c>
      <c r="AE31" s="139">
        <f>CP235</f>
        <v>44.448602378378382</v>
      </c>
      <c r="AF31" s="211">
        <f>CQ235</f>
        <v>28.266263783783781</v>
      </c>
    </row>
    <row r="32" spans="1:33" x14ac:dyDescent="0.25">
      <c r="A32" s="91" t="s">
        <v>79</v>
      </c>
      <c r="F32" s="46"/>
      <c r="K32" s="46"/>
      <c r="L32" s="60"/>
      <c r="M32" s="47"/>
      <c r="N32" s="47"/>
      <c r="O32" s="47"/>
      <c r="P32" s="46"/>
      <c r="Q32" s="60"/>
      <c r="R32" s="47"/>
      <c r="S32" s="47"/>
      <c r="T32" s="47"/>
      <c r="U32" s="46"/>
      <c r="X32" s="123" t="str">
        <f>B245</f>
        <v>12-13,</v>
      </c>
      <c r="Y32" s="74">
        <f>V246</f>
        <v>25.020123529411766</v>
      </c>
      <c r="Z32" s="53">
        <f>W246</f>
        <v>15.065264705882354</v>
      </c>
      <c r="AA32" s="74">
        <f>AT247</f>
        <v>32.413868941176474</v>
      </c>
      <c r="AB32" s="53">
        <f>AU247</f>
        <v>20.540849411764711</v>
      </c>
      <c r="AC32" s="74">
        <f>BR247</f>
        <v>32.413868941176474</v>
      </c>
      <c r="AD32" s="53">
        <f>BS247</f>
        <v>20.540849411764711</v>
      </c>
      <c r="AE32" s="74">
        <f>AC32</f>
        <v>32.413868941176474</v>
      </c>
      <c r="AF32" s="53">
        <f>AD32</f>
        <v>20.540849411764711</v>
      </c>
    </row>
    <row r="33" spans="1:32" x14ac:dyDescent="0.25">
      <c r="A33" s="91" t="s">
        <v>80</v>
      </c>
      <c r="B33" s="48"/>
      <c r="C33" s="48"/>
      <c r="D33" s="48"/>
      <c r="E33" s="48"/>
      <c r="F33" s="49"/>
      <c r="G33" s="59">
        <v>0.9</v>
      </c>
      <c r="H33" s="48">
        <f>'analisi dei carichi'!E29*G33</f>
        <v>5.1480000000000006</v>
      </c>
      <c r="I33" s="48">
        <f>G33*'analisi dei carichi'!H29</f>
        <v>6.692400000000001</v>
      </c>
      <c r="J33" s="48">
        <f>G33*'analisi dei carichi'!K29</f>
        <v>6.692400000000001</v>
      </c>
      <c r="K33" s="49">
        <f>G33*'analisi dei carichi'!N28</f>
        <v>5.18004</v>
      </c>
      <c r="L33" s="59">
        <f t="shared" ref="L33:S33" si="14">G33</f>
        <v>0.9</v>
      </c>
      <c r="M33" s="48">
        <f t="shared" si="14"/>
        <v>5.1480000000000006</v>
      </c>
      <c r="N33" s="48">
        <f t="shared" si="14"/>
        <v>6.692400000000001</v>
      </c>
      <c r="O33" s="48">
        <f t="shared" si="14"/>
        <v>6.692400000000001</v>
      </c>
      <c r="P33" s="49">
        <f t="shared" si="14"/>
        <v>5.18004</v>
      </c>
      <c r="Q33" s="59">
        <f t="shared" si="14"/>
        <v>0.9</v>
      </c>
      <c r="R33" s="48">
        <f t="shared" si="14"/>
        <v>5.1480000000000006</v>
      </c>
      <c r="S33" s="48">
        <f t="shared" si="14"/>
        <v>6.692400000000001</v>
      </c>
      <c r="T33" s="48">
        <f t="shared" si="12"/>
        <v>6.692400000000001</v>
      </c>
      <c r="U33" s="49">
        <f t="shared" si="13"/>
        <v>5.18004</v>
      </c>
      <c r="X33" s="123" t="str">
        <f>B256</f>
        <v>13-14</v>
      </c>
      <c r="Y33" s="74">
        <f>E264</f>
        <v>27.159949999999998</v>
      </c>
      <c r="Z33" s="53">
        <f>F264</f>
        <v>17.391499999999997</v>
      </c>
      <c r="AA33" s="74">
        <f>J264</f>
        <v>30.171974000000002</v>
      </c>
      <c r="AB33" s="53">
        <f>K264</f>
        <v>19.329979999999999</v>
      </c>
      <c r="AC33" s="74">
        <f>O264</f>
        <v>31.146974000000004</v>
      </c>
      <c r="AD33" s="53">
        <f>P264</f>
        <v>20.079979999999999</v>
      </c>
      <c r="AE33" s="74">
        <f>T264</f>
        <v>31.146974000000004</v>
      </c>
      <c r="AF33" s="53">
        <f>U264</f>
        <v>20.079979999999999</v>
      </c>
    </row>
    <row r="34" spans="1:32" x14ac:dyDescent="0.25">
      <c r="A34" s="91" t="s">
        <v>55</v>
      </c>
      <c r="C34" s="43">
        <f>SUM(C28:C31)</f>
        <v>14.840599999999997</v>
      </c>
      <c r="D34" s="43">
        <f>SUM(D28:D31)</f>
        <v>16.757779999999997</v>
      </c>
      <c r="E34" s="43">
        <f>SUM(E28:E31)</f>
        <v>27.305280799999998</v>
      </c>
      <c r="F34" s="43">
        <f>SUM(F28:F31)</f>
        <v>14.306599999999996</v>
      </c>
      <c r="H34" s="43">
        <f>SUM(H28:H33)</f>
        <v>20.270215999999998</v>
      </c>
      <c r="I34" s="43">
        <f>SUM(I28:I33)</f>
        <v>33.997680799999998</v>
      </c>
      <c r="J34" s="43">
        <f>SUM(J28:J33)</f>
        <v>33.997680799999998</v>
      </c>
      <c r="K34" s="43">
        <f>SUM(K28:K33)</f>
        <v>21.718255999999997</v>
      </c>
      <c r="M34" s="43">
        <f>SUM(M28:M33)</f>
        <v>21.020215999999998</v>
      </c>
      <c r="N34" s="43">
        <f>SUM(N28:N33)</f>
        <v>34.972680799999999</v>
      </c>
      <c r="O34" s="43">
        <f>SUM(O28:O33)</f>
        <v>34.972680799999999</v>
      </c>
      <c r="P34" s="43">
        <f>SUM(P28:P33)</f>
        <v>22.468255999999997</v>
      </c>
      <c r="R34" s="43">
        <f>M34</f>
        <v>21.020215999999998</v>
      </c>
      <c r="S34" s="43">
        <f>N34</f>
        <v>34.972680799999999</v>
      </c>
      <c r="T34" s="43">
        <f t="shared" si="12"/>
        <v>34.972680799999999</v>
      </c>
      <c r="U34" s="43">
        <f t="shared" si="13"/>
        <v>22.468255999999997</v>
      </c>
      <c r="X34" s="123" t="str">
        <f>B267</f>
        <v>14-15</v>
      </c>
      <c r="Y34" s="74">
        <f>V269</f>
        <v>17.592889406779658</v>
      </c>
      <c r="Z34" s="53">
        <f>W269</f>
        <v>11.283974576271186</v>
      </c>
      <c r="AA34" s="74">
        <f>AT269</f>
        <v>28.639623915254241</v>
      </c>
      <c r="AB34" s="53">
        <f>AU269</f>
        <v>19.456219830508477</v>
      </c>
      <c r="AC34" s="74">
        <f>BR269</f>
        <v>29.614623915254242</v>
      </c>
      <c r="AD34" s="53">
        <f>BS269</f>
        <v>20.206219830508477</v>
      </c>
      <c r="AE34" s="74">
        <f>CP269</f>
        <v>29.614623915254242</v>
      </c>
      <c r="AF34" s="53">
        <f>CQ269</f>
        <v>20.206219830508477</v>
      </c>
    </row>
    <row r="35" spans="1:32" x14ac:dyDescent="0.25">
      <c r="X35" s="128" t="str">
        <f>travi!B279</f>
        <v>16-17</v>
      </c>
      <c r="Y35" s="74">
        <f>V281</f>
        <v>26.155977058823527</v>
      </c>
      <c r="Z35" s="129">
        <f>W281</f>
        <v>15.716658823529411</v>
      </c>
      <c r="AA35" s="74">
        <f>AT281</f>
        <v>33.83022454117647</v>
      </c>
      <c r="AB35" s="129">
        <f>AU281</f>
        <v>21.400249647058821</v>
      </c>
      <c r="AC35" s="74">
        <f>travi!BR281</f>
        <v>33.83022454117647</v>
      </c>
      <c r="AD35" s="129">
        <f>travi!BS281</f>
        <v>21.400249647058821</v>
      </c>
      <c r="AE35" s="74">
        <f>AC35</f>
        <v>33.83022454117647</v>
      </c>
      <c r="AF35" s="129">
        <f>AD35</f>
        <v>21.400249647058821</v>
      </c>
    </row>
    <row r="36" spans="1:32" x14ac:dyDescent="0.25">
      <c r="B36" s="57" t="s">
        <v>76</v>
      </c>
      <c r="C36" s="43" t="s">
        <v>93</v>
      </c>
      <c r="H36" s="43" t="s">
        <v>93</v>
      </c>
      <c r="L36" s="43" t="s">
        <v>93</v>
      </c>
      <c r="Q36" s="43" t="s">
        <v>93</v>
      </c>
      <c r="X36" s="128" t="str">
        <f>B290</f>
        <v>17-18</v>
      </c>
      <c r="Y36" s="74">
        <f>E298</f>
        <v>30.002829999999996</v>
      </c>
      <c r="Z36" s="129">
        <f>F298</f>
        <v>19.305099999999996</v>
      </c>
      <c r="AA36" s="74">
        <f>J298</f>
        <v>31.762738800000001</v>
      </c>
      <c r="AB36" s="129">
        <f>K298</f>
        <v>20.250875999999998</v>
      </c>
      <c r="AC36" s="74">
        <f>O298</f>
        <v>32.737738800000002</v>
      </c>
      <c r="AD36" s="129">
        <f>P298</f>
        <v>21.000875999999998</v>
      </c>
      <c r="AE36" s="74">
        <f>T298</f>
        <v>32.737738800000002</v>
      </c>
      <c r="AF36" s="129">
        <f>U298</f>
        <v>21.000875999999998</v>
      </c>
    </row>
    <row r="37" spans="1:32" x14ac:dyDescent="0.25">
      <c r="B37" s="43" t="s">
        <v>101</v>
      </c>
      <c r="C37" s="44">
        <v>6</v>
      </c>
      <c r="H37" s="43" t="s">
        <v>95</v>
      </c>
      <c r="L37" s="43" t="s">
        <v>96</v>
      </c>
      <c r="Q37" s="44">
        <v>1</v>
      </c>
      <c r="X37" s="128" t="str">
        <f>B301</f>
        <v>18-19</v>
      </c>
      <c r="Y37" s="74">
        <f>V303</f>
        <v>18.946657916666666</v>
      </c>
      <c r="Z37" s="129">
        <f>W303</f>
        <v>11.803179166666668</v>
      </c>
      <c r="AA37" s="74">
        <f>AT303</f>
        <v>39.249746038596498</v>
      </c>
      <c r="AB37" s="129">
        <f>AU303</f>
        <v>21.070912657894738</v>
      </c>
      <c r="AC37" s="74">
        <f>BR303</f>
        <v>40.224746038596493</v>
      </c>
      <c r="AD37" s="129">
        <f>BS303</f>
        <v>21.820912657894738</v>
      </c>
      <c r="AE37" s="74">
        <f>CP303</f>
        <v>28.603553121929831</v>
      </c>
      <c r="AF37" s="129">
        <f>CQ303</f>
        <v>18.791329324561406</v>
      </c>
    </row>
    <row r="38" spans="1:32" x14ac:dyDescent="0.25">
      <c r="B38" s="43" t="s">
        <v>51</v>
      </c>
      <c r="C38" s="43" t="s">
        <v>37</v>
      </c>
      <c r="D38" s="43" t="s">
        <v>39</v>
      </c>
      <c r="E38" s="43" t="s">
        <v>92</v>
      </c>
      <c r="F38" s="58" t="s">
        <v>91</v>
      </c>
      <c r="G38" s="43" t="s">
        <v>51</v>
      </c>
      <c r="H38" s="43" t="s">
        <v>37</v>
      </c>
      <c r="I38" s="43" t="s">
        <v>39</v>
      </c>
      <c r="J38" s="43" t="s">
        <v>92</v>
      </c>
      <c r="K38" s="58" t="s">
        <v>91</v>
      </c>
      <c r="L38" s="60" t="s">
        <v>51</v>
      </c>
      <c r="M38" s="47" t="s">
        <v>37</v>
      </c>
      <c r="N38" s="47" t="s">
        <v>39</v>
      </c>
      <c r="O38" s="47" t="s">
        <v>92</v>
      </c>
      <c r="P38" s="58" t="s">
        <v>91</v>
      </c>
      <c r="Q38" s="60" t="s">
        <v>51</v>
      </c>
      <c r="R38" s="47" t="s">
        <v>37</v>
      </c>
      <c r="S38" s="47" t="s">
        <v>39</v>
      </c>
      <c r="T38" s="47" t="s">
        <v>92</v>
      </c>
      <c r="U38" s="58" t="s">
        <v>91</v>
      </c>
      <c r="X38" s="130" t="str">
        <f>B313</f>
        <v>20-21</v>
      </c>
      <c r="Y38" s="74">
        <f>V315</f>
        <v>32.625357941176468</v>
      </c>
      <c r="Z38" s="131">
        <f>W315</f>
        <v>19.479261764705875</v>
      </c>
      <c r="AA38" s="74">
        <f>AT315</f>
        <v>60.463306800000012</v>
      </c>
      <c r="AB38" s="131">
        <f>AU315</f>
        <v>37.45923599999999</v>
      </c>
      <c r="AC38" s="74">
        <f>BR315</f>
        <v>61.438306800000007</v>
      </c>
      <c r="AD38" s="131">
        <f>BS315</f>
        <v>38.209235999999997</v>
      </c>
      <c r="AE38" s="74">
        <f>CP315</f>
        <v>45.777661800000004</v>
      </c>
      <c r="AF38" s="131">
        <f>CQ315</f>
        <v>29.186586000000002</v>
      </c>
    </row>
    <row r="39" spans="1:32" x14ac:dyDescent="0.25">
      <c r="A39" s="91" t="s">
        <v>56</v>
      </c>
      <c r="B39" s="47">
        <f>B16</f>
        <v>0.5</v>
      </c>
      <c r="C39" s="47">
        <f t="shared" ref="C39:F39" si="15">C16</f>
        <v>2.1049999999999995</v>
      </c>
      <c r="D39" s="47">
        <f t="shared" si="15"/>
        <v>2.7364999999999995</v>
      </c>
      <c r="E39" s="47">
        <f t="shared" si="15"/>
        <v>4.2364999999999995</v>
      </c>
      <c r="F39" s="47">
        <f t="shared" si="15"/>
        <v>2.4049999999999994</v>
      </c>
      <c r="G39" s="60">
        <v>0.5</v>
      </c>
      <c r="H39" s="47">
        <f>'analisi dei carichi'!O28*G39</f>
        <v>2.5777999999999999</v>
      </c>
      <c r="I39" s="47">
        <f>G39*'analisi dei carichi'!P28</f>
        <v>3.4711399999999997</v>
      </c>
      <c r="J39" s="47">
        <f>G39*'analisi dei carichi'!K28</f>
        <v>4.9711400000000001</v>
      </c>
      <c r="K39" s="46">
        <f>'analisi dei carichi'!N28*G39</f>
        <v>2.8777999999999997</v>
      </c>
      <c r="L39" s="47">
        <f t="shared" ref="L39:U39" si="16">G39</f>
        <v>0.5</v>
      </c>
      <c r="M39" s="47">
        <f t="shared" si="16"/>
        <v>2.5777999999999999</v>
      </c>
      <c r="N39" s="47">
        <f t="shared" si="16"/>
        <v>3.4711399999999997</v>
      </c>
      <c r="O39" s="47">
        <f t="shared" si="16"/>
        <v>4.9711400000000001</v>
      </c>
      <c r="P39" s="46">
        <f t="shared" si="16"/>
        <v>2.8777999999999997</v>
      </c>
      <c r="Q39" s="61">
        <f t="shared" si="16"/>
        <v>0.5</v>
      </c>
      <c r="R39" s="61">
        <f t="shared" si="16"/>
        <v>2.5777999999999999</v>
      </c>
      <c r="S39" s="61">
        <f t="shared" si="16"/>
        <v>3.4711399999999997</v>
      </c>
      <c r="T39" s="61">
        <f t="shared" si="16"/>
        <v>4.9711400000000001</v>
      </c>
      <c r="U39" s="61">
        <f t="shared" si="16"/>
        <v>2.8777999999999997</v>
      </c>
      <c r="X39" s="130" t="str">
        <f>B324</f>
        <v>21-22</v>
      </c>
      <c r="Y39" s="74">
        <f>E332</f>
        <v>46.359013999999995</v>
      </c>
      <c r="Z39" s="131">
        <f>F332</f>
        <v>27.091579999999993</v>
      </c>
      <c r="AA39" s="74">
        <f>J332</f>
        <v>53.731861040000005</v>
      </c>
      <c r="AB39" s="131">
        <f>K332</f>
        <v>31.836600799999992</v>
      </c>
      <c r="AC39" s="74">
        <f>O332</f>
        <v>54.70686104</v>
      </c>
      <c r="AD39" s="131">
        <f>P332</f>
        <v>32.586600799999992</v>
      </c>
      <c r="AE39" s="74">
        <f>T332</f>
        <v>54.70686104</v>
      </c>
      <c r="AF39" s="131">
        <f>U332</f>
        <v>32.586600799999992</v>
      </c>
    </row>
    <row r="40" spans="1:32" x14ac:dyDescent="0.25">
      <c r="A40" s="170" t="s">
        <v>340</v>
      </c>
      <c r="G40" s="60"/>
      <c r="H40" s="47"/>
      <c r="I40" s="47"/>
      <c r="J40" s="47"/>
      <c r="K40" s="46"/>
      <c r="L40" s="47"/>
      <c r="M40" s="47"/>
      <c r="N40" s="47"/>
      <c r="O40" s="47"/>
      <c r="P40" s="46"/>
      <c r="Q40" s="60"/>
      <c r="R40" s="47"/>
      <c r="S40" s="47"/>
      <c r="T40" s="47"/>
      <c r="U40" s="46"/>
      <c r="X40" s="130" t="str">
        <f>B335</f>
        <v>22-23</v>
      </c>
      <c r="Y40" s="74">
        <f>V337</f>
        <v>35.08080935840708</v>
      </c>
      <c r="Z40" s="131">
        <f>W337</f>
        <v>20.826913938053096</v>
      </c>
      <c r="AA40" s="74">
        <f>AT337</f>
        <v>54.124803545228218</v>
      </c>
      <c r="AB40" s="131">
        <f>AU337</f>
        <v>33.250758871369285</v>
      </c>
      <c r="AC40" s="74">
        <f>BR337</f>
        <v>55.039118897925299</v>
      </c>
      <c r="AD40" s="131">
        <f>BS337</f>
        <v>33.954078373443977</v>
      </c>
      <c r="AE40" s="74">
        <f>CP337</f>
        <v>44.044795308713688</v>
      </c>
      <c r="AF40" s="131">
        <f>CQ337</f>
        <v>27.61986073858921</v>
      </c>
    </row>
    <row r="41" spans="1:32" x14ac:dyDescent="0.25">
      <c r="A41" s="91" t="s">
        <v>77</v>
      </c>
      <c r="B41" s="47"/>
      <c r="C41" s="47"/>
      <c r="D41" s="47"/>
      <c r="E41" s="47"/>
      <c r="F41" s="46"/>
      <c r="G41" s="60"/>
      <c r="H41" s="47"/>
      <c r="I41" s="47"/>
      <c r="J41" s="47"/>
      <c r="K41" s="46"/>
      <c r="L41" s="47"/>
      <c r="M41" s="47"/>
      <c r="N41" s="47"/>
      <c r="O41" s="47"/>
      <c r="P41" s="46"/>
      <c r="Q41" s="60"/>
      <c r="R41" s="47"/>
      <c r="S41" s="47"/>
      <c r="T41" s="47"/>
      <c r="U41" s="46"/>
      <c r="X41" s="125" t="str">
        <f>B347</f>
        <v>24-25</v>
      </c>
      <c r="Y41" s="74">
        <f>E355</f>
        <v>26.578319999999998</v>
      </c>
      <c r="Z41" s="126">
        <f>F355</f>
        <v>16.160399999999996</v>
      </c>
      <c r="AA41" s="74">
        <f>J355</f>
        <v>34.5424352</v>
      </c>
      <c r="AB41" s="126">
        <f>K355</f>
        <v>22.143104000000001</v>
      </c>
      <c r="AC41" s="74">
        <f>O355</f>
        <v>35.517435200000001</v>
      </c>
      <c r="AD41" s="126">
        <f>P355</f>
        <v>22.893104000000001</v>
      </c>
      <c r="AE41" s="74">
        <f>T355</f>
        <v>35.517435200000001</v>
      </c>
      <c r="AF41" s="126">
        <f>U355</f>
        <v>22.893104000000001</v>
      </c>
    </row>
    <row r="42" spans="1:32" x14ac:dyDescent="0.25">
      <c r="A42" s="91" t="s">
        <v>78</v>
      </c>
      <c r="B42" s="43">
        <f>G42</f>
        <v>1</v>
      </c>
      <c r="C42" s="43">
        <f t="shared" ref="C42:F42" si="17">H42</f>
        <v>2.9550000000000001</v>
      </c>
      <c r="D42" s="43">
        <f t="shared" si="17"/>
        <v>3.8415000000000004</v>
      </c>
      <c r="E42" s="43">
        <f t="shared" si="17"/>
        <v>3.8415000000000004</v>
      </c>
      <c r="F42" s="43">
        <f t="shared" si="17"/>
        <v>2.9550000000000001</v>
      </c>
      <c r="G42" s="47">
        <v>1</v>
      </c>
      <c r="H42" s="47">
        <f>'analisi dei carichi'!E37*G42</f>
        <v>2.9550000000000001</v>
      </c>
      <c r="I42" s="47">
        <f>G42*'analisi dei carichi'!H37</f>
        <v>3.8415000000000004</v>
      </c>
      <c r="J42" s="47">
        <f>G42*'analisi dei carichi'!K37</f>
        <v>3.8415000000000004</v>
      </c>
      <c r="K42" s="46">
        <f>G42*'analisi dei carichi'!N37</f>
        <v>2.9550000000000001</v>
      </c>
      <c r="L42" s="47">
        <v>1</v>
      </c>
      <c r="M42" s="47">
        <f>'analisi dei carichi'!E30*L42</f>
        <v>3.7050000000000001</v>
      </c>
      <c r="N42" s="47">
        <f>L42*'analisi dei carichi'!H30</f>
        <v>4.8165000000000004</v>
      </c>
      <c r="O42" s="47">
        <f>L42*'analisi dei carichi'!K30</f>
        <v>4.8165000000000004</v>
      </c>
      <c r="P42" s="46">
        <f>L42*'analisi dei carichi'!N30</f>
        <v>3.7050000000000001</v>
      </c>
      <c r="Q42" s="60">
        <f>L42</f>
        <v>1</v>
      </c>
      <c r="R42" s="60">
        <f>M42</f>
        <v>3.7050000000000001</v>
      </c>
      <c r="S42" s="60">
        <f>N42</f>
        <v>4.8165000000000004</v>
      </c>
      <c r="T42" s="60">
        <f>O42</f>
        <v>4.8165000000000004</v>
      </c>
      <c r="U42" s="60">
        <f>P42</f>
        <v>3.7050000000000001</v>
      </c>
      <c r="X42" s="125" t="s">
        <v>267</v>
      </c>
      <c r="Y42" s="74">
        <f>E366</f>
        <v>26.578319999999998</v>
      </c>
      <c r="Z42" s="126">
        <f>F366</f>
        <v>16.160399999999996</v>
      </c>
      <c r="AA42" s="74">
        <f>J366</f>
        <v>33.798835199999999</v>
      </c>
      <c r="AB42" s="126">
        <f>K366</f>
        <v>21.571103999999998</v>
      </c>
      <c r="AC42" s="74">
        <f>O366</f>
        <v>34.773835200000001</v>
      </c>
      <c r="AD42" s="126">
        <f>P366</f>
        <v>22.321103999999998</v>
      </c>
      <c r="AE42" s="74">
        <f>T366</f>
        <v>34.773835200000001</v>
      </c>
      <c r="AF42" s="126">
        <f>U366</f>
        <v>22.321103999999998</v>
      </c>
    </row>
    <row r="43" spans="1:32" x14ac:dyDescent="0.25">
      <c r="A43" s="91" t="s">
        <v>79</v>
      </c>
      <c r="B43" s="47"/>
      <c r="C43" s="47"/>
      <c r="D43" s="47"/>
      <c r="E43" s="47"/>
      <c r="F43" s="46"/>
      <c r="G43" s="60"/>
      <c r="H43" s="47"/>
      <c r="I43" s="47"/>
      <c r="J43" s="47"/>
      <c r="K43" s="46"/>
      <c r="L43" s="47"/>
      <c r="M43" s="47"/>
      <c r="N43" s="47"/>
      <c r="O43" s="47"/>
      <c r="P43" s="46"/>
      <c r="Q43" s="60"/>
      <c r="R43" s="47"/>
      <c r="S43" s="47"/>
      <c r="T43" s="47"/>
      <c r="U43" s="46"/>
      <c r="X43" s="133" t="s">
        <v>268</v>
      </c>
      <c r="Y43" s="74">
        <f>Y42</f>
        <v>26.578319999999998</v>
      </c>
      <c r="Z43" s="126">
        <f t="shared" ref="Z43:AF43" si="18">Z42</f>
        <v>16.160399999999996</v>
      </c>
      <c r="AA43" s="74">
        <f t="shared" si="18"/>
        <v>33.798835199999999</v>
      </c>
      <c r="AB43" s="126">
        <f t="shared" si="18"/>
        <v>21.571103999999998</v>
      </c>
      <c r="AC43" s="74">
        <f t="shared" si="18"/>
        <v>34.773835200000001</v>
      </c>
      <c r="AD43" s="126">
        <f t="shared" si="18"/>
        <v>22.321103999999998</v>
      </c>
      <c r="AE43" s="74">
        <f t="shared" si="18"/>
        <v>34.773835200000001</v>
      </c>
      <c r="AF43" s="126">
        <f t="shared" si="18"/>
        <v>22.321103999999998</v>
      </c>
    </row>
    <row r="44" spans="1:32" x14ac:dyDescent="0.25">
      <c r="A44" s="91" t="s">
        <v>80</v>
      </c>
      <c r="B44" s="48"/>
      <c r="C44" s="48"/>
      <c r="D44" s="48"/>
      <c r="E44" s="48"/>
      <c r="F44" s="49"/>
      <c r="G44" s="59"/>
      <c r="H44" s="48"/>
      <c r="I44" s="48"/>
      <c r="J44" s="48"/>
      <c r="K44" s="49"/>
      <c r="L44" s="48"/>
      <c r="M44" s="48"/>
      <c r="N44" s="48"/>
      <c r="O44" s="48"/>
      <c r="P44" s="49"/>
      <c r="Q44" s="59"/>
      <c r="R44" s="48"/>
      <c r="S44" s="48"/>
      <c r="T44" s="48"/>
      <c r="U44" s="49"/>
    </row>
    <row r="45" spans="1:32" x14ac:dyDescent="0.25">
      <c r="A45" s="91" t="s">
        <v>55</v>
      </c>
      <c r="C45" s="43">
        <f>SUM(C39:C42)</f>
        <v>5.0599999999999996</v>
      </c>
      <c r="D45" s="43">
        <f t="shared" ref="D45:F45" si="19">SUM(D39:D42)</f>
        <v>6.5779999999999994</v>
      </c>
      <c r="E45" s="43">
        <f t="shared" si="19"/>
        <v>8.0779999999999994</v>
      </c>
      <c r="F45" s="43">
        <f t="shared" si="19"/>
        <v>5.3599999999999994</v>
      </c>
      <c r="H45" s="43">
        <f>SUM(H39:H42)</f>
        <v>5.5327999999999999</v>
      </c>
      <c r="I45" s="43">
        <f>SUM(I39:I42)</f>
        <v>7.31264</v>
      </c>
      <c r="J45" s="43">
        <f>SUM(J39:J42)</f>
        <v>8.81264</v>
      </c>
      <c r="K45" s="43">
        <f>SUM(K39:K42)</f>
        <v>5.8327999999999998</v>
      </c>
      <c r="M45" s="43">
        <f>SUM(M39:M42)</f>
        <v>6.2827999999999999</v>
      </c>
      <c r="N45" s="43">
        <f>SUM(N39:N42)</f>
        <v>8.2876399999999997</v>
      </c>
      <c r="O45" s="43">
        <f>SUM(O39:O42)</f>
        <v>9.7876399999999997</v>
      </c>
      <c r="P45" s="43">
        <f>SUM(P39:P42)</f>
        <v>6.5827999999999998</v>
      </c>
      <c r="R45" s="43">
        <f>SUM(R39:R42)</f>
        <v>6.2827999999999999</v>
      </c>
      <c r="S45" s="43">
        <f>SUM(S39:S42)</f>
        <v>8.2876399999999997</v>
      </c>
      <c r="T45" s="43">
        <f>SUM(T39:T42)</f>
        <v>9.7876399999999997</v>
      </c>
      <c r="U45" s="43">
        <f>SUM(U39:U42)</f>
        <v>6.5827999999999998</v>
      </c>
      <c r="AE45" s="219">
        <f>MAX(AE5:AE43)</f>
        <v>62.835929837837831</v>
      </c>
      <c r="AF45" s="85">
        <f>MAX(AF5:AF43)</f>
        <v>39.600839999999998</v>
      </c>
    </row>
    <row r="47" spans="1:32" x14ac:dyDescent="0.25">
      <c r="B47" s="57" t="s">
        <v>76</v>
      </c>
      <c r="C47" s="43" t="s">
        <v>93</v>
      </c>
      <c r="H47" s="43" t="s">
        <v>93</v>
      </c>
      <c r="L47" s="43" t="s">
        <v>93</v>
      </c>
      <c r="Q47" s="43" t="s">
        <v>93</v>
      </c>
    </row>
    <row r="48" spans="1:32" x14ac:dyDescent="0.25">
      <c r="B48" s="43" t="s">
        <v>102</v>
      </c>
      <c r="C48" s="44">
        <v>6</v>
      </c>
      <c r="H48" s="43" t="s">
        <v>95</v>
      </c>
      <c r="L48" s="43" t="s">
        <v>96</v>
      </c>
      <c r="Q48" s="44">
        <v>1</v>
      </c>
    </row>
    <row r="49" spans="1:21" x14ac:dyDescent="0.25">
      <c r="B49" s="43" t="s">
        <v>51</v>
      </c>
      <c r="C49" s="43" t="s">
        <v>37</v>
      </c>
      <c r="D49" s="43" t="s">
        <v>39</v>
      </c>
      <c r="E49" s="43" t="s">
        <v>92</v>
      </c>
      <c r="F49" s="58" t="s">
        <v>91</v>
      </c>
      <c r="G49" s="43" t="s">
        <v>51</v>
      </c>
      <c r="H49" s="43" t="s">
        <v>37</v>
      </c>
      <c r="I49" s="43" t="s">
        <v>39</v>
      </c>
      <c r="J49" s="43" t="s">
        <v>92</v>
      </c>
      <c r="K49" s="58" t="s">
        <v>91</v>
      </c>
      <c r="L49" s="60" t="s">
        <v>51</v>
      </c>
      <c r="M49" s="47" t="s">
        <v>37</v>
      </c>
      <c r="N49" s="47" t="s">
        <v>39</v>
      </c>
      <c r="O49" s="47" t="s">
        <v>92</v>
      </c>
      <c r="P49" s="58" t="s">
        <v>91</v>
      </c>
      <c r="Q49" s="60" t="s">
        <v>51</v>
      </c>
      <c r="R49" s="47" t="s">
        <v>37</v>
      </c>
      <c r="S49" s="47" t="s">
        <v>39</v>
      </c>
      <c r="T49" s="47" t="s">
        <v>92</v>
      </c>
      <c r="U49" s="58" t="s">
        <v>91</v>
      </c>
    </row>
    <row r="50" spans="1:21" x14ac:dyDescent="0.25">
      <c r="A50" s="91" t="s">
        <v>56</v>
      </c>
      <c r="B50" s="47"/>
      <c r="C50" s="47"/>
      <c r="D50" s="47"/>
      <c r="E50" s="47"/>
      <c r="F50" s="47"/>
      <c r="G50" s="60">
        <f>G39</f>
        <v>0.5</v>
      </c>
      <c r="H50" s="47">
        <f>H39</f>
        <v>2.5777999999999999</v>
      </c>
      <c r="I50" s="47">
        <f>I39</f>
        <v>3.4711399999999997</v>
      </c>
      <c r="J50" s="47">
        <f>J39</f>
        <v>4.9711400000000001</v>
      </c>
      <c r="K50" s="47">
        <f>K39</f>
        <v>2.8777999999999997</v>
      </c>
      <c r="L50" s="60">
        <f t="shared" ref="L50:S50" si="20">G50</f>
        <v>0.5</v>
      </c>
      <c r="M50" s="47">
        <f t="shared" si="20"/>
        <v>2.5777999999999999</v>
      </c>
      <c r="N50" s="47">
        <f t="shared" si="20"/>
        <v>3.4711399999999997</v>
      </c>
      <c r="O50" s="47">
        <f t="shared" si="20"/>
        <v>4.9711400000000001</v>
      </c>
      <c r="P50" s="46">
        <f t="shared" si="20"/>
        <v>2.8777999999999997</v>
      </c>
      <c r="Q50" s="60">
        <f t="shared" si="20"/>
        <v>0.5</v>
      </c>
      <c r="R50" s="47">
        <f t="shared" si="20"/>
        <v>2.5777999999999999</v>
      </c>
      <c r="S50" s="47">
        <f t="shared" si="20"/>
        <v>3.4711399999999997</v>
      </c>
      <c r="T50" s="47">
        <f>O50</f>
        <v>4.9711400000000001</v>
      </c>
      <c r="U50" s="46">
        <f>P50</f>
        <v>2.8777999999999997</v>
      </c>
    </row>
    <row r="51" spans="1:21" x14ac:dyDescent="0.25">
      <c r="A51" s="170" t="s">
        <v>340</v>
      </c>
      <c r="B51" s="47">
        <v>1</v>
      </c>
      <c r="C51" s="47">
        <f>'analisi dei carichi'!E38*B51</f>
        <v>3.9</v>
      </c>
      <c r="D51" s="47">
        <f>B51*'analisi dei carichi'!H38</f>
        <v>5.07</v>
      </c>
      <c r="E51" s="47">
        <f>B51*'analisi dei carichi'!K38</f>
        <v>5.82</v>
      </c>
      <c r="F51" s="46">
        <f>B51*'analisi dei carichi'!N38</f>
        <v>3.9</v>
      </c>
      <c r="G51" s="60"/>
      <c r="H51" s="47"/>
      <c r="I51" s="47"/>
      <c r="J51" s="47"/>
      <c r="K51" s="46"/>
      <c r="L51" s="60"/>
      <c r="M51" s="47"/>
      <c r="N51" s="47"/>
      <c r="O51" s="47"/>
      <c r="P51" s="46"/>
      <c r="Q51" s="60"/>
      <c r="R51" s="47"/>
      <c r="S51" s="47"/>
      <c r="T51" s="47"/>
      <c r="U51" s="46"/>
    </row>
    <row r="52" spans="1:21" x14ac:dyDescent="0.25">
      <c r="A52" s="91" t="s">
        <v>77</v>
      </c>
      <c r="B52" s="47"/>
      <c r="C52" s="47"/>
      <c r="D52" s="47"/>
      <c r="E52" s="47"/>
      <c r="F52" s="46"/>
      <c r="G52" s="60"/>
      <c r="H52" s="47"/>
      <c r="I52" s="47"/>
      <c r="J52" s="47"/>
      <c r="K52" s="46"/>
      <c r="L52" s="60"/>
      <c r="M52" s="47"/>
      <c r="N52" s="47"/>
      <c r="O52" s="47"/>
      <c r="P52" s="46"/>
      <c r="Q52" s="60"/>
      <c r="R52" s="47"/>
      <c r="S52" s="47"/>
      <c r="T52" s="47"/>
      <c r="U52" s="46"/>
    </row>
    <row r="53" spans="1:21" x14ac:dyDescent="0.25">
      <c r="A53" s="91" t="s">
        <v>78</v>
      </c>
      <c r="B53" s="47">
        <f>G42</f>
        <v>1</v>
      </c>
      <c r="C53" s="47">
        <f>H42</f>
        <v>2.9550000000000001</v>
      </c>
      <c r="D53" s="47">
        <f>I42</f>
        <v>3.8415000000000004</v>
      </c>
      <c r="E53" s="47">
        <f>J42</f>
        <v>3.8415000000000004</v>
      </c>
      <c r="F53" s="47">
        <f>K42</f>
        <v>2.9550000000000001</v>
      </c>
      <c r="G53" s="60">
        <f>B53</f>
        <v>1</v>
      </c>
      <c r="H53" s="60">
        <f>C53</f>
        <v>2.9550000000000001</v>
      </c>
      <c r="I53" s="60">
        <f>D53</f>
        <v>3.8415000000000004</v>
      </c>
      <c r="J53" s="60">
        <f>E53</f>
        <v>3.8415000000000004</v>
      </c>
      <c r="K53" s="60">
        <f>F53</f>
        <v>2.9550000000000001</v>
      </c>
      <c r="L53" s="60">
        <v>1</v>
      </c>
      <c r="M53" s="47">
        <f>L53*'analisi dei carichi'!E30</f>
        <v>3.7050000000000001</v>
      </c>
      <c r="N53" s="47">
        <f>L53*'analisi dei carichi'!H30</f>
        <v>4.8165000000000004</v>
      </c>
      <c r="O53" s="47">
        <f>L53*'analisi dei carichi'!K30</f>
        <v>4.8165000000000004</v>
      </c>
      <c r="P53" s="46">
        <f>L53*'analisi dei carichi'!N30</f>
        <v>3.7050000000000001</v>
      </c>
      <c r="Q53" s="60">
        <f>L53</f>
        <v>1</v>
      </c>
      <c r="R53" s="47">
        <f>M53</f>
        <v>3.7050000000000001</v>
      </c>
      <c r="S53" s="47">
        <f>N53</f>
        <v>4.8165000000000004</v>
      </c>
      <c r="T53" s="47">
        <f>O53</f>
        <v>4.8165000000000004</v>
      </c>
      <c r="U53" s="46">
        <f>P53</f>
        <v>3.7050000000000001</v>
      </c>
    </row>
    <row r="54" spans="1:21" x14ac:dyDescent="0.25">
      <c r="A54" s="91" t="s">
        <v>79</v>
      </c>
      <c r="B54" s="47"/>
      <c r="C54" s="47"/>
      <c r="D54" s="47"/>
      <c r="E54" s="47"/>
      <c r="F54" s="46"/>
      <c r="G54" s="60"/>
      <c r="H54" s="47"/>
      <c r="I54" s="47"/>
      <c r="J54" s="47"/>
      <c r="K54" s="46"/>
      <c r="L54" s="60"/>
      <c r="M54" s="47"/>
      <c r="N54" s="47"/>
      <c r="O54" s="47"/>
      <c r="P54" s="46"/>
      <c r="Q54" s="60"/>
      <c r="R54" s="47"/>
      <c r="S54" s="47"/>
      <c r="T54" s="47"/>
      <c r="U54" s="46"/>
    </row>
    <row r="55" spans="1:21" x14ac:dyDescent="0.25">
      <c r="A55" s="91" t="s">
        <v>80</v>
      </c>
      <c r="B55" s="48"/>
      <c r="C55" s="48"/>
      <c r="D55" s="48"/>
      <c r="E55" s="48"/>
      <c r="F55" s="48"/>
      <c r="G55" s="59">
        <f>G33</f>
        <v>0.9</v>
      </c>
      <c r="H55" s="48">
        <f>H33</f>
        <v>5.1480000000000006</v>
      </c>
      <c r="I55" s="48">
        <f>I33</f>
        <v>6.692400000000001</v>
      </c>
      <c r="J55" s="48">
        <f>J33</f>
        <v>6.692400000000001</v>
      </c>
      <c r="K55" s="49">
        <f>K33</f>
        <v>5.18004</v>
      </c>
      <c r="L55" s="59">
        <f t="shared" ref="L55:S55" si="21">G55</f>
        <v>0.9</v>
      </c>
      <c r="M55" s="48">
        <f t="shared" si="21"/>
        <v>5.1480000000000006</v>
      </c>
      <c r="N55" s="48">
        <f t="shared" si="21"/>
        <v>6.692400000000001</v>
      </c>
      <c r="O55" s="48">
        <f t="shared" si="21"/>
        <v>6.692400000000001</v>
      </c>
      <c r="P55" s="48">
        <f t="shared" si="21"/>
        <v>5.18004</v>
      </c>
      <c r="Q55" s="59">
        <f t="shared" si="21"/>
        <v>0.9</v>
      </c>
      <c r="R55" s="48">
        <f t="shared" si="21"/>
        <v>5.1480000000000006</v>
      </c>
      <c r="S55" s="48">
        <f t="shared" si="21"/>
        <v>6.692400000000001</v>
      </c>
      <c r="T55" s="48">
        <f>O55</f>
        <v>6.692400000000001</v>
      </c>
      <c r="U55" s="49">
        <f>P55</f>
        <v>5.18004</v>
      </c>
    </row>
    <row r="56" spans="1:21" x14ac:dyDescent="0.25">
      <c r="A56" s="91" t="s">
        <v>55</v>
      </c>
      <c r="C56" s="43">
        <f>SUM(C50:C53)</f>
        <v>6.8550000000000004</v>
      </c>
      <c r="D56" s="43">
        <f>SUM(D50:D53)</f>
        <v>8.9115000000000002</v>
      </c>
      <c r="E56" s="43">
        <f>SUM(E50:E53)</f>
        <v>9.6615000000000002</v>
      </c>
      <c r="F56" s="43">
        <f>SUM(F50:F53)</f>
        <v>6.8550000000000004</v>
      </c>
      <c r="H56" s="43">
        <f>SUM(H50:H55)</f>
        <v>10.680800000000001</v>
      </c>
      <c r="I56" s="43">
        <f>SUM(I50:I55)</f>
        <v>14.005040000000001</v>
      </c>
      <c r="J56" s="43">
        <f>SUM(J50:J55)</f>
        <v>15.505040000000001</v>
      </c>
      <c r="K56" s="43">
        <f>SUM(K50:K55)</f>
        <v>11.012840000000001</v>
      </c>
      <c r="M56" s="43">
        <f>SUM(M50:M55)</f>
        <v>11.430800000000001</v>
      </c>
      <c r="N56" s="43">
        <f>SUM(N50:N55)</f>
        <v>14.980040000000001</v>
      </c>
      <c r="O56" s="43">
        <f>SUM(O50:O55)</f>
        <v>16.480040000000002</v>
      </c>
      <c r="P56" s="43">
        <f>SUM(P50:P55)</f>
        <v>11.762840000000001</v>
      </c>
      <c r="Q56" s="47"/>
      <c r="R56" s="47">
        <f>M56</f>
        <v>11.430800000000001</v>
      </c>
      <c r="S56" s="47">
        <f>N56</f>
        <v>14.980040000000001</v>
      </c>
      <c r="T56" s="47">
        <f>O56</f>
        <v>16.480040000000002</v>
      </c>
      <c r="U56" s="47">
        <f>P56</f>
        <v>11.762840000000001</v>
      </c>
    </row>
    <row r="58" spans="1:21" x14ac:dyDescent="0.25">
      <c r="C58" s="55" t="s">
        <v>114</v>
      </c>
      <c r="D58" s="43" t="s">
        <v>103</v>
      </c>
    </row>
    <row r="59" spans="1:21" x14ac:dyDescent="0.25">
      <c r="B59" s="57" t="s">
        <v>76</v>
      </c>
      <c r="C59" s="43" t="s">
        <v>93</v>
      </c>
      <c r="H59" s="43" t="s">
        <v>93</v>
      </c>
      <c r="L59" s="43" t="s">
        <v>93</v>
      </c>
      <c r="Q59" s="43" t="s">
        <v>93</v>
      </c>
    </row>
    <row r="60" spans="1:21" x14ac:dyDescent="0.25">
      <c r="B60" s="43" t="s">
        <v>103</v>
      </c>
      <c r="C60" s="44">
        <v>6</v>
      </c>
      <c r="H60" s="43" t="s">
        <v>95</v>
      </c>
      <c r="L60" s="43" t="s">
        <v>96</v>
      </c>
      <c r="Q60" s="44">
        <v>1</v>
      </c>
    </row>
    <row r="61" spans="1:21" x14ac:dyDescent="0.25">
      <c r="B61" s="43" t="s">
        <v>51</v>
      </c>
      <c r="C61" s="43" t="s">
        <v>37</v>
      </c>
      <c r="D61" s="43" t="s">
        <v>39</v>
      </c>
      <c r="E61" s="43" t="s">
        <v>92</v>
      </c>
      <c r="F61" s="58" t="s">
        <v>91</v>
      </c>
      <c r="G61" s="43" t="s">
        <v>51</v>
      </c>
      <c r="H61" s="43" t="s">
        <v>37</v>
      </c>
      <c r="I61" s="43" t="s">
        <v>39</v>
      </c>
      <c r="J61" s="43" t="s">
        <v>92</v>
      </c>
      <c r="K61" s="58" t="s">
        <v>91</v>
      </c>
      <c r="L61" s="60" t="s">
        <v>51</v>
      </c>
      <c r="M61" s="47" t="s">
        <v>37</v>
      </c>
      <c r="N61" s="47" t="s">
        <v>39</v>
      </c>
      <c r="O61" s="47" t="s">
        <v>92</v>
      </c>
      <c r="P61" s="58" t="s">
        <v>91</v>
      </c>
      <c r="Q61" s="60" t="s">
        <v>51</v>
      </c>
      <c r="R61" s="47" t="s">
        <v>37</v>
      </c>
      <c r="S61" s="47" t="s">
        <v>39</v>
      </c>
      <c r="T61" s="47" t="s">
        <v>92</v>
      </c>
      <c r="U61" s="58" t="s">
        <v>91</v>
      </c>
    </row>
    <row r="62" spans="1:21" x14ac:dyDescent="0.25">
      <c r="A62" s="91" t="s">
        <v>56</v>
      </c>
      <c r="B62" s="43">
        <v>1</v>
      </c>
      <c r="C62" s="43">
        <f>B62*'analisi dei carichi'!E35</f>
        <v>4.2099999999999991</v>
      </c>
      <c r="D62" s="43">
        <f>'analisi dei carichi'!H35*travi!B62</f>
        <v>5.472999999999999</v>
      </c>
      <c r="E62" s="43">
        <f>B62*'analisi dei carichi'!K35</f>
        <v>8.472999999999999</v>
      </c>
      <c r="F62" s="46">
        <f>B62*'analisi dei carichi'!N35</f>
        <v>4.8099999999999987</v>
      </c>
      <c r="G62" s="43">
        <v>1</v>
      </c>
      <c r="H62" s="43">
        <f>G62*'analisi dei carichi'!O28</f>
        <v>5.1555999999999997</v>
      </c>
      <c r="I62" s="43">
        <f>G62*'analisi dei carichi'!P28</f>
        <v>6.9422799999999993</v>
      </c>
      <c r="J62" s="43">
        <f>G62*'analisi dei carichi'!K28</f>
        <v>9.9422800000000002</v>
      </c>
      <c r="K62" s="46">
        <f>G62*'analisi dei carichi'!N28</f>
        <v>5.7555999999999994</v>
      </c>
      <c r="L62" s="43">
        <f t="shared" ref="L62:S62" si="22">G62</f>
        <v>1</v>
      </c>
      <c r="M62" s="43">
        <f t="shared" si="22"/>
        <v>5.1555999999999997</v>
      </c>
      <c r="N62" s="43">
        <f t="shared" si="22"/>
        <v>6.9422799999999993</v>
      </c>
      <c r="O62" s="43">
        <f t="shared" si="22"/>
        <v>9.9422800000000002</v>
      </c>
      <c r="P62" s="46">
        <f t="shared" si="22"/>
        <v>5.7555999999999994</v>
      </c>
      <c r="Q62" s="43">
        <f t="shared" si="22"/>
        <v>1</v>
      </c>
      <c r="R62" s="43">
        <f t="shared" si="22"/>
        <v>5.1555999999999997</v>
      </c>
      <c r="S62" s="43">
        <f t="shared" si="22"/>
        <v>6.9422799999999993</v>
      </c>
      <c r="T62" s="43">
        <f>O62</f>
        <v>9.9422800000000002</v>
      </c>
      <c r="U62" s="46">
        <f>P62</f>
        <v>5.7555999999999994</v>
      </c>
    </row>
    <row r="63" spans="1:21" x14ac:dyDescent="0.25">
      <c r="A63" s="170" t="s">
        <v>340</v>
      </c>
      <c r="F63" s="46"/>
      <c r="K63" s="46"/>
      <c r="P63" s="46"/>
      <c r="U63" s="46"/>
    </row>
    <row r="64" spans="1:21" x14ac:dyDescent="0.25">
      <c r="A64" s="91" t="s">
        <v>77</v>
      </c>
      <c r="F64" s="46"/>
      <c r="K64" s="46"/>
      <c r="P64" s="46"/>
      <c r="U64" s="46"/>
    </row>
    <row r="65" spans="1:21" x14ac:dyDescent="0.25">
      <c r="A65" s="91" t="s">
        <v>78</v>
      </c>
      <c r="F65" s="46"/>
      <c r="K65" s="46"/>
      <c r="P65" s="46"/>
      <c r="U65" s="46"/>
    </row>
    <row r="66" spans="1:21" x14ac:dyDescent="0.25">
      <c r="A66" s="91" t="s">
        <v>79</v>
      </c>
      <c r="B66" s="43">
        <v>1</v>
      </c>
      <c r="C66" s="43">
        <f>B66*'analisi dei carichi'!E31</f>
        <v>1.7100000000000002</v>
      </c>
      <c r="D66" s="43">
        <f>B66*'analisi dei carichi'!H31</f>
        <v>2.2230000000000003</v>
      </c>
      <c r="E66" s="43">
        <f>B66*'analisi dei carichi'!K31</f>
        <v>2.2230000000000003</v>
      </c>
      <c r="F66" s="46">
        <f>B66*'analisi dei carichi'!N31</f>
        <v>1.7100000000000002</v>
      </c>
      <c r="G66" s="43">
        <f t="shared" ref="G66:S66" si="23">B66</f>
        <v>1</v>
      </c>
      <c r="H66" s="43">
        <f t="shared" si="23"/>
        <v>1.7100000000000002</v>
      </c>
      <c r="I66" s="43">
        <f t="shared" si="23"/>
        <v>2.2230000000000003</v>
      </c>
      <c r="J66" s="43">
        <f t="shared" si="23"/>
        <v>2.2230000000000003</v>
      </c>
      <c r="K66" s="46">
        <f t="shared" si="23"/>
        <v>1.7100000000000002</v>
      </c>
      <c r="L66" s="43">
        <f t="shared" si="23"/>
        <v>1</v>
      </c>
      <c r="M66" s="43">
        <f t="shared" si="23"/>
        <v>1.7100000000000002</v>
      </c>
      <c r="N66" s="43">
        <f t="shared" si="23"/>
        <v>2.2230000000000003</v>
      </c>
      <c r="O66" s="43">
        <f t="shared" si="23"/>
        <v>2.2230000000000003</v>
      </c>
      <c r="P66" s="46">
        <f t="shared" si="23"/>
        <v>1.7100000000000002</v>
      </c>
      <c r="Q66" s="43">
        <f t="shared" si="23"/>
        <v>1</v>
      </c>
      <c r="R66" s="43">
        <f t="shared" si="23"/>
        <v>1.7100000000000002</v>
      </c>
      <c r="S66" s="43">
        <f t="shared" si="23"/>
        <v>2.2230000000000003</v>
      </c>
      <c r="T66" s="43">
        <f>O66</f>
        <v>2.2230000000000003</v>
      </c>
      <c r="U66" s="46">
        <f>P66</f>
        <v>1.7100000000000002</v>
      </c>
    </row>
    <row r="67" spans="1:21" x14ac:dyDescent="0.25">
      <c r="A67" s="91" t="s">
        <v>80</v>
      </c>
      <c r="B67" s="48"/>
      <c r="C67" s="48"/>
      <c r="D67" s="48"/>
      <c r="E67" s="48"/>
      <c r="F67" s="49"/>
      <c r="G67" s="48"/>
      <c r="H67" s="48"/>
      <c r="I67" s="48"/>
      <c r="J67" s="48"/>
      <c r="K67" s="49"/>
      <c r="L67" s="48"/>
      <c r="M67" s="48"/>
      <c r="N67" s="48"/>
      <c r="O67" s="48"/>
      <c r="P67" s="49"/>
      <c r="Q67" s="48"/>
      <c r="R67" s="48"/>
      <c r="S67" s="48"/>
      <c r="T67" s="48"/>
      <c r="U67" s="49"/>
    </row>
    <row r="68" spans="1:21" x14ac:dyDescent="0.25">
      <c r="A68" s="91" t="s">
        <v>55</v>
      </c>
      <c r="C68" s="43">
        <f>SUM(C62:C67)</f>
        <v>5.919999999999999</v>
      </c>
      <c r="D68" s="43">
        <f>SUM(D62:D67)</f>
        <v>7.6959999999999997</v>
      </c>
      <c r="E68" s="43">
        <f>SUM(E62:E67)</f>
        <v>10.696</v>
      </c>
      <c r="F68" s="43">
        <f>SUM(F62:F67)</f>
        <v>6.5199999999999987</v>
      </c>
      <c r="H68" s="43">
        <f>SUM(H62:H67)</f>
        <v>6.8655999999999997</v>
      </c>
      <c r="I68" s="43">
        <f>SUM(I62:I67)</f>
        <v>9.1652799999999992</v>
      </c>
      <c r="J68" s="43">
        <f>SUM(J62:J67)</f>
        <v>12.165280000000001</v>
      </c>
      <c r="K68" s="43">
        <f>SUM(K62:K67)</f>
        <v>7.4655999999999993</v>
      </c>
      <c r="M68" s="43">
        <f>SUM(M62:M67)</f>
        <v>6.8655999999999997</v>
      </c>
      <c r="N68" s="43">
        <f>SUM(N62:N67)</f>
        <v>9.1652799999999992</v>
      </c>
      <c r="O68" s="43">
        <f>SUM(O62:O67)</f>
        <v>12.165280000000001</v>
      </c>
      <c r="P68" s="43">
        <f>SUM(P62:P67)</f>
        <v>7.4655999999999993</v>
      </c>
      <c r="R68" s="43">
        <f>SUM(R62:R67)</f>
        <v>6.8655999999999997</v>
      </c>
      <c r="S68" s="43">
        <f>SUM(S62:S67)</f>
        <v>9.1652799999999992</v>
      </c>
      <c r="T68" s="43">
        <f>SUM(T62:T67)</f>
        <v>12.165280000000001</v>
      </c>
      <c r="U68" s="46">
        <f>SUM(U62:U67)</f>
        <v>7.4655999999999993</v>
      </c>
    </row>
    <row r="70" spans="1:21" x14ac:dyDescent="0.25">
      <c r="C70" s="55" t="s">
        <v>112</v>
      </c>
      <c r="D70" s="43" t="s">
        <v>104</v>
      </c>
    </row>
    <row r="71" spans="1:21" x14ac:dyDescent="0.25">
      <c r="B71" s="57" t="s">
        <v>76</v>
      </c>
      <c r="C71" s="43" t="s">
        <v>93</v>
      </c>
      <c r="H71" s="43" t="s">
        <v>93</v>
      </c>
      <c r="L71" s="43" t="s">
        <v>93</v>
      </c>
      <c r="Q71" s="43" t="s">
        <v>93</v>
      </c>
    </row>
    <row r="72" spans="1:21" x14ac:dyDescent="0.25">
      <c r="B72" s="74" t="s">
        <v>105</v>
      </c>
      <c r="C72" s="44">
        <v>6</v>
      </c>
      <c r="H72" s="43" t="s">
        <v>95</v>
      </c>
      <c r="L72" s="43" t="s">
        <v>96</v>
      </c>
      <c r="Q72" s="44">
        <v>1</v>
      </c>
    </row>
    <row r="73" spans="1:21" x14ac:dyDescent="0.25">
      <c r="B73" s="43" t="s">
        <v>51</v>
      </c>
      <c r="C73" s="43" t="s">
        <v>37</v>
      </c>
      <c r="D73" s="43" t="s">
        <v>39</v>
      </c>
      <c r="E73" s="43" t="s">
        <v>92</v>
      </c>
      <c r="F73" s="58" t="s">
        <v>91</v>
      </c>
      <c r="G73" s="43" t="s">
        <v>51</v>
      </c>
      <c r="H73" s="43" t="s">
        <v>37</v>
      </c>
      <c r="I73" s="43" t="s">
        <v>39</v>
      </c>
      <c r="J73" s="43" t="s">
        <v>92</v>
      </c>
      <c r="K73" s="58" t="s">
        <v>91</v>
      </c>
      <c r="L73" s="60" t="s">
        <v>51</v>
      </c>
      <c r="M73" s="47" t="s">
        <v>37</v>
      </c>
      <c r="N73" s="47" t="s">
        <v>39</v>
      </c>
      <c r="O73" s="47" t="s">
        <v>92</v>
      </c>
      <c r="P73" s="58" t="s">
        <v>91</v>
      </c>
      <c r="Q73" s="47" t="s">
        <v>51</v>
      </c>
      <c r="R73" s="47" t="s">
        <v>37</v>
      </c>
      <c r="S73" s="47" t="s">
        <v>39</v>
      </c>
      <c r="T73" s="47" t="s">
        <v>92</v>
      </c>
      <c r="U73" s="58" t="s">
        <v>91</v>
      </c>
    </row>
    <row r="74" spans="1:21" x14ac:dyDescent="0.25">
      <c r="A74" s="91" t="s">
        <v>153</v>
      </c>
      <c r="B74" s="43">
        <f>(4.58/2)*1.2</f>
        <v>2.7479999999999998</v>
      </c>
      <c r="C74" s="43">
        <f>B74*'analisi dei carichi'!E35</f>
        <v>11.569079999999996</v>
      </c>
      <c r="D74" s="43">
        <f>B74*'analisi dei carichi'!H35</f>
        <v>15.039803999999997</v>
      </c>
      <c r="E74" s="43">
        <f>B74*'analisi dei carichi'!K35</f>
        <v>23.283803999999996</v>
      </c>
      <c r="F74" s="46">
        <f>B74*'analisi dei carichi'!N35</f>
        <v>13.217879999999996</v>
      </c>
      <c r="G74" s="43">
        <f>B74</f>
        <v>2.7479999999999998</v>
      </c>
      <c r="H74" s="43">
        <f>G74*'analisi dei carichi'!O28</f>
        <v>14.167588799999999</v>
      </c>
      <c r="I74" s="43">
        <f>G74*'analisi dei carichi'!P28</f>
        <v>19.077385439999997</v>
      </c>
      <c r="J74" s="43">
        <f>G74*'analisi dei carichi'!K28</f>
        <v>27.321385439999997</v>
      </c>
      <c r="K74" s="46">
        <f>G74*'analisi dei carichi'!N28</f>
        <v>15.816388799999997</v>
      </c>
      <c r="L74" s="43">
        <f t="shared" ref="L74:S74" si="24">G74</f>
        <v>2.7479999999999998</v>
      </c>
      <c r="M74" s="43">
        <f t="shared" si="24"/>
        <v>14.167588799999999</v>
      </c>
      <c r="N74" s="43">
        <f t="shared" si="24"/>
        <v>19.077385439999997</v>
      </c>
      <c r="O74" s="43">
        <f t="shared" si="24"/>
        <v>27.321385439999997</v>
      </c>
      <c r="P74" s="46">
        <f t="shared" si="24"/>
        <v>15.816388799999997</v>
      </c>
      <c r="Q74" s="43">
        <f t="shared" si="24"/>
        <v>2.7479999999999998</v>
      </c>
      <c r="R74" s="43">
        <f t="shared" si="24"/>
        <v>14.167588799999999</v>
      </c>
      <c r="S74" s="43">
        <f t="shared" si="24"/>
        <v>19.077385439999997</v>
      </c>
      <c r="T74" s="43">
        <f>O74</f>
        <v>27.321385439999997</v>
      </c>
      <c r="U74" s="46">
        <f>P74</f>
        <v>15.816388799999997</v>
      </c>
    </row>
    <row r="75" spans="1:21" x14ac:dyDescent="0.25">
      <c r="A75" s="170" t="s">
        <v>340</v>
      </c>
      <c r="F75" s="46"/>
      <c r="K75" s="46"/>
      <c r="P75" s="46"/>
      <c r="U75" s="46"/>
    </row>
    <row r="76" spans="1:21" x14ac:dyDescent="0.25">
      <c r="A76" s="91" t="s">
        <v>77</v>
      </c>
      <c r="B76" s="73">
        <f>B110</f>
        <v>2.6</v>
      </c>
      <c r="C76" s="43">
        <f t="shared" ref="C76:U76" si="25">C110</f>
        <v>6.8787333333333338</v>
      </c>
      <c r="D76" s="43">
        <f t="shared" si="25"/>
        <v>8.9423533333333349</v>
      </c>
      <c r="E76" s="43">
        <f t="shared" si="25"/>
        <v>16.742353333333334</v>
      </c>
      <c r="F76" s="43">
        <f t="shared" si="25"/>
        <v>9.9987333333333321</v>
      </c>
      <c r="G76" s="43">
        <f t="shared" si="25"/>
        <v>2.6</v>
      </c>
      <c r="H76" s="43">
        <f t="shared" si="25"/>
        <v>6.8787333333333338</v>
      </c>
      <c r="I76" s="43">
        <f t="shared" si="25"/>
        <v>8.9423533333333349</v>
      </c>
      <c r="J76" s="43">
        <f t="shared" si="25"/>
        <v>16.742353333333334</v>
      </c>
      <c r="K76" s="43">
        <f t="shared" si="25"/>
        <v>9.9987333333333321</v>
      </c>
      <c r="L76" s="43">
        <f t="shared" si="25"/>
        <v>2.6</v>
      </c>
      <c r="M76" s="43">
        <f t="shared" si="25"/>
        <v>6.8787333333333338</v>
      </c>
      <c r="N76" s="43">
        <f t="shared" si="25"/>
        <v>8.9423533333333349</v>
      </c>
      <c r="O76" s="43">
        <f t="shared" si="25"/>
        <v>16.742353333333334</v>
      </c>
      <c r="P76" s="43">
        <f t="shared" si="25"/>
        <v>9.9987333333333321</v>
      </c>
      <c r="Q76" s="43">
        <f t="shared" si="25"/>
        <v>2.6</v>
      </c>
      <c r="R76" s="43">
        <f t="shared" si="25"/>
        <v>6.8787333333333338</v>
      </c>
      <c r="S76" s="43">
        <f t="shared" si="25"/>
        <v>8.9423533333333349</v>
      </c>
      <c r="T76" s="43">
        <f t="shared" si="25"/>
        <v>16.742353333333334</v>
      </c>
      <c r="U76" s="43">
        <f t="shared" si="25"/>
        <v>9.9987333333333321</v>
      </c>
    </row>
    <row r="77" spans="1:21" x14ac:dyDescent="0.25">
      <c r="A77" s="91" t="s">
        <v>78</v>
      </c>
      <c r="B77" s="43">
        <v>1</v>
      </c>
      <c r="C77" s="43">
        <f>B77*'analisi dei carichi'!E37</f>
        <v>2.9550000000000001</v>
      </c>
      <c r="D77" s="43">
        <f>B77*'analisi dei carichi'!H37</f>
        <v>3.8415000000000004</v>
      </c>
      <c r="E77" s="43">
        <f>B77*'analisi dei carichi'!K37</f>
        <v>3.8415000000000004</v>
      </c>
      <c r="F77" s="46">
        <f>B77*'analisi dei carichi'!N37</f>
        <v>2.9550000000000001</v>
      </c>
      <c r="G77" s="43">
        <f t="shared" ref="G77:L77" si="26">B77</f>
        <v>1</v>
      </c>
      <c r="H77" s="43">
        <f t="shared" si="26"/>
        <v>2.9550000000000001</v>
      </c>
      <c r="I77" s="43">
        <f t="shared" si="26"/>
        <v>3.8415000000000004</v>
      </c>
      <c r="J77" s="43">
        <f t="shared" si="26"/>
        <v>3.8415000000000004</v>
      </c>
      <c r="K77" s="43">
        <f t="shared" si="26"/>
        <v>2.9550000000000001</v>
      </c>
      <c r="L77" s="43">
        <f t="shared" si="26"/>
        <v>1</v>
      </c>
      <c r="M77" s="43">
        <f>L77*'analisi dei carichi'!E30</f>
        <v>3.7050000000000001</v>
      </c>
      <c r="N77" s="43">
        <f>L77*'analisi dei carichi'!H30</f>
        <v>4.8165000000000004</v>
      </c>
      <c r="O77" s="43">
        <f>L77*'analisi dei carichi'!K30</f>
        <v>4.8165000000000004</v>
      </c>
      <c r="P77" s="46">
        <f>L77*'analisi dei carichi'!N30</f>
        <v>3.7050000000000001</v>
      </c>
      <c r="Q77" s="43">
        <f>L77</f>
        <v>1</v>
      </c>
      <c r="R77" s="43">
        <f>M77</f>
        <v>3.7050000000000001</v>
      </c>
      <c r="S77" s="43">
        <f>N77</f>
        <v>4.8165000000000004</v>
      </c>
      <c r="T77" s="43">
        <f>O77</f>
        <v>4.8165000000000004</v>
      </c>
      <c r="U77" s="46">
        <f>P77</f>
        <v>3.7050000000000001</v>
      </c>
    </row>
    <row r="78" spans="1:21" x14ac:dyDescent="0.25">
      <c r="A78" s="91" t="s">
        <v>79</v>
      </c>
      <c r="F78" s="46"/>
      <c r="K78" s="46"/>
      <c r="P78" s="46"/>
      <c r="U78" s="46"/>
    </row>
    <row r="79" spans="1:21" x14ac:dyDescent="0.25">
      <c r="A79" s="91" t="s">
        <v>80</v>
      </c>
      <c r="B79" s="48">
        <v>1</v>
      </c>
      <c r="C79" s="48">
        <f>B79*'analisi dei carichi'!E29</f>
        <v>5.7200000000000006</v>
      </c>
      <c r="D79" s="48">
        <f>B79*'analisi dei carichi'!H29</f>
        <v>7.4360000000000008</v>
      </c>
      <c r="E79" s="48">
        <f>B79*'analisi dei carichi'!K29</f>
        <v>7.4360000000000008</v>
      </c>
      <c r="F79" s="49">
        <f>B79*'analisi dei carichi'!N29</f>
        <v>5.7200000000000006</v>
      </c>
      <c r="G79" s="48">
        <f t="shared" ref="G79:S79" si="27">B79</f>
        <v>1</v>
      </c>
      <c r="H79" s="48">
        <f t="shared" si="27"/>
        <v>5.7200000000000006</v>
      </c>
      <c r="I79" s="48">
        <f t="shared" si="27"/>
        <v>7.4360000000000008</v>
      </c>
      <c r="J79" s="48">
        <f t="shared" si="27"/>
        <v>7.4360000000000008</v>
      </c>
      <c r="K79" s="48">
        <f t="shared" si="27"/>
        <v>5.7200000000000006</v>
      </c>
      <c r="L79" s="48">
        <f t="shared" si="27"/>
        <v>1</v>
      </c>
      <c r="M79" s="48">
        <f t="shared" si="27"/>
        <v>5.7200000000000006</v>
      </c>
      <c r="N79" s="48">
        <f t="shared" si="27"/>
        <v>7.4360000000000008</v>
      </c>
      <c r="O79" s="48">
        <f t="shared" si="27"/>
        <v>7.4360000000000008</v>
      </c>
      <c r="P79" s="48">
        <f t="shared" si="27"/>
        <v>5.7200000000000006</v>
      </c>
      <c r="Q79" s="48">
        <f t="shared" si="27"/>
        <v>1</v>
      </c>
      <c r="R79" s="48">
        <f t="shared" si="27"/>
        <v>5.7200000000000006</v>
      </c>
      <c r="S79" s="48">
        <f t="shared" si="27"/>
        <v>7.4360000000000008</v>
      </c>
      <c r="T79" s="48">
        <f>O79</f>
        <v>7.4360000000000008</v>
      </c>
      <c r="U79" s="48">
        <f>P79</f>
        <v>5.7200000000000006</v>
      </c>
    </row>
    <row r="80" spans="1:21" x14ac:dyDescent="0.25">
      <c r="A80" s="91" t="s">
        <v>55</v>
      </c>
      <c r="C80" s="43">
        <f>SUM(C74:C79)</f>
        <v>27.122813333333326</v>
      </c>
      <c r="D80" s="43">
        <f>SUM(D74:D79)</f>
        <v>35.259657333333337</v>
      </c>
      <c r="E80" s="43">
        <f>SUM(E74:E79)</f>
        <v>51.303657333333334</v>
      </c>
      <c r="F80" s="43">
        <f>SUM(F74:F79)</f>
        <v>31.891613333333325</v>
      </c>
      <c r="H80" s="43">
        <f>SUM(H74:H79)</f>
        <v>29.721322133333331</v>
      </c>
      <c r="I80" s="43">
        <f>SUM(I74:I79)</f>
        <v>39.297238773333333</v>
      </c>
      <c r="J80" s="43">
        <f>SUM(J74:J79)</f>
        <v>55.34123877333333</v>
      </c>
      <c r="K80" s="43">
        <f>SUM(K74:K79)</f>
        <v>34.49012213333333</v>
      </c>
      <c r="M80" s="43">
        <f>SUM(M74:M79)</f>
        <v>30.471322133333331</v>
      </c>
      <c r="N80" s="43">
        <f>SUM(N74:N79)</f>
        <v>40.272238773333328</v>
      </c>
      <c r="O80" s="43">
        <f>SUM(O74:O79)</f>
        <v>56.316238773333325</v>
      </c>
      <c r="P80" s="43">
        <f>SUM(P74:P79)</f>
        <v>35.24012213333333</v>
      </c>
      <c r="R80" s="43">
        <f>SUM(R74:R79)</f>
        <v>30.471322133333331</v>
      </c>
      <c r="S80" s="43">
        <f>SUM(S74:S79)</f>
        <v>40.272238773333328</v>
      </c>
      <c r="T80" s="43">
        <f>SUM(T74:T79)</f>
        <v>56.316238773333325</v>
      </c>
      <c r="U80" s="43">
        <f>SUM(U74:U79)</f>
        <v>35.24012213333333</v>
      </c>
    </row>
    <row r="82" spans="1:21" x14ac:dyDescent="0.25">
      <c r="B82" s="57" t="s">
        <v>76</v>
      </c>
      <c r="C82" s="43" t="s">
        <v>93</v>
      </c>
      <c r="H82" s="43" t="s">
        <v>93</v>
      </c>
      <c r="L82" s="43" t="s">
        <v>93</v>
      </c>
      <c r="Q82" s="43" t="s">
        <v>93</v>
      </c>
    </row>
    <row r="83" spans="1:21" x14ac:dyDescent="0.25">
      <c r="B83" s="62" t="s">
        <v>106</v>
      </c>
      <c r="C83" s="44">
        <v>6</v>
      </c>
      <c r="H83" s="43" t="s">
        <v>95</v>
      </c>
      <c r="L83" s="43" t="s">
        <v>96</v>
      </c>
      <c r="Q83" s="44">
        <v>1</v>
      </c>
    </row>
    <row r="84" spans="1:21" x14ac:dyDescent="0.25">
      <c r="B84" s="43" t="s">
        <v>51</v>
      </c>
      <c r="C84" s="43" t="s">
        <v>37</v>
      </c>
      <c r="D84" s="43" t="s">
        <v>39</v>
      </c>
      <c r="E84" s="43" t="s">
        <v>92</v>
      </c>
      <c r="F84" s="58" t="s">
        <v>91</v>
      </c>
      <c r="G84" s="43" t="s">
        <v>51</v>
      </c>
      <c r="H84" s="43" t="s">
        <v>37</v>
      </c>
      <c r="I84" s="43" t="s">
        <v>39</v>
      </c>
      <c r="J84" s="43" t="s">
        <v>92</v>
      </c>
      <c r="K84" s="58" t="s">
        <v>91</v>
      </c>
      <c r="L84" s="60" t="s">
        <v>51</v>
      </c>
      <c r="M84" s="47" t="s">
        <v>37</v>
      </c>
      <c r="N84" s="47" t="s">
        <v>39</v>
      </c>
      <c r="O84" s="47" t="s">
        <v>92</v>
      </c>
      <c r="P84" s="58" t="s">
        <v>91</v>
      </c>
      <c r="Q84" s="60" t="s">
        <v>51</v>
      </c>
      <c r="R84" s="47" t="s">
        <v>37</v>
      </c>
      <c r="S84" s="47" t="s">
        <v>39</v>
      </c>
      <c r="T84" s="47" t="s">
        <v>92</v>
      </c>
      <c r="U84" s="58" t="s">
        <v>91</v>
      </c>
    </row>
    <row r="85" spans="1:21" x14ac:dyDescent="0.25">
      <c r="A85" s="91" t="s">
        <v>56</v>
      </c>
      <c r="B85" s="43">
        <v>1</v>
      </c>
      <c r="C85" s="43">
        <f>B85*'analisi dei carichi'!E35</f>
        <v>4.2099999999999991</v>
      </c>
      <c r="D85" s="43">
        <f>B85*'analisi dei carichi'!H35</f>
        <v>5.472999999999999</v>
      </c>
      <c r="E85" s="43">
        <f>B85*'analisi dei carichi'!K35</f>
        <v>8.472999999999999</v>
      </c>
      <c r="F85" s="46">
        <f>B85*'analisi dei carichi'!N35</f>
        <v>4.8099999999999987</v>
      </c>
      <c r="G85" s="43">
        <f>G62</f>
        <v>1</v>
      </c>
      <c r="H85" s="43">
        <f>H62</f>
        <v>5.1555999999999997</v>
      </c>
      <c r="I85" s="43">
        <f>I62</f>
        <v>6.9422799999999993</v>
      </c>
      <c r="J85" s="43">
        <f>J62</f>
        <v>9.9422800000000002</v>
      </c>
      <c r="K85" s="43">
        <f>K62</f>
        <v>5.7555999999999994</v>
      </c>
      <c r="L85" s="43">
        <f t="shared" ref="L85:S85" si="28">G85</f>
        <v>1</v>
      </c>
      <c r="M85" s="43">
        <f t="shared" si="28"/>
        <v>5.1555999999999997</v>
      </c>
      <c r="N85" s="43">
        <f t="shared" si="28"/>
        <v>6.9422799999999993</v>
      </c>
      <c r="O85" s="43">
        <f t="shared" si="28"/>
        <v>9.9422800000000002</v>
      </c>
      <c r="P85" s="43">
        <f t="shared" si="28"/>
        <v>5.7555999999999994</v>
      </c>
      <c r="Q85" s="43">
        <f t="shared" si="28"/>
        <v>1</v>
      </c>
      <c r="R85" s="43">
        <f t="shared" si="28"/>
        <v>5.1555999999999997</v>
      </c>
      <c r="S85" s="43">
        <f t="shared" si="28"/>
        <v>6.9422799999999993</v>
      </c>
      <c r="T85" s="43">
        <f>O85</f>
        <v>9.9422800000000002</v>
      </c>
      <c r="U85" s="43">
        <f>P85</f>
        <v>5.7555999999999994</v>
      </c>
    </row>
    <row r="86" spans="1:21" x14ac:dyDescent="0.25">
      <c r="A86" s="170" t="s">
        <v>340</v>
      </c>
      <c r="F86" s="46"/>
      <c r="K86" s="46"/>
      <c r="P86" s="46"/>
      <c r="U86" s="46"/>
    </row>
    <row r="87" spans="1:21" x14ac:dyDescent="0.25">
      <c r="A87" s="91" t="s">
        <v>77</v>
      </c>
      <c r="F87" s="46"/>
      <c r="K87" s="46"/>
      <c r="P87" s="46"/>
      <c r="U87" s="46"/>
    </row>
    <row r="88" spans="1:21" x14ac:dyDescent="0.25">
      <c r="A88" s="91" t="s">
        <v>78</v>
      </c>
      <c r="F88" s="46"/>
      <c r="K88" s="46"/>
      <c r="P88" s="46"/>
      <c r="U88" s="46"/>
    </row>
    <row r="89" spans="1:21" x14ac:dyDescent="0.25">
      <c r="A89" s="91" t="s">
        <v>79</v>
      </c>
      <c r="B89" s="43">
        <f>B66</f>
        <v>1</v>
      </c>
      <c r="C89" s="43">
        <f>C66</f>
        <v>1.7100000000000002</v>
      </c>
      <c r="D89" s="43">
        <f>D66</f>
        <v>2.2230000000000003</v>
      </c>
      <c r="E89" s="43">
        <f>E66</f>
        <v>2.2230000000000003</v>
      </c>
      <c r="F89" s="43">
        <f>F66</f>
        <v>1.7100000000000002</v>
      </c>
      <c r="G89" s="43">
        <f t="shared" ref="G89:S89" si="29">B89</f>
        <v>1</v>
      </c>
      <c r="H89" s="43">
        <f t="shared" si="29"/>
        <v>1.7100000000000002</v>
      </c>
      <c r="I89" s="43">
        <f t="shared" si="29"/>
        <v>2.2230000000000003</v>
      </c>
      <c r="J89" s="43">
        <f t="shared" si="29"/>
        <v>2.2230000000000003</v>
      </c>
      <c r="K89" s="43">
        <f t="shared" si="29"/>
        <v>1.7100000000000002</v>
      </c>
      <c r="L89" s="43">
        <f t="shared" si="29"/>
        <v>1</v>
      </c>
      <c r="M89" s="43">
        <f t="shared" si="29"/>
        <v>1.7100000000000002</v>
      </c>
      <c r="N89" s="43">
        <f t="shared" si="29"/>
        <v>2.2230000000000003</v>
      </c>
      <c r="O89" s="43">
        <f t="shared" si="29"/>
        <v>2.2230000000000003</v>
      </c>
      <c r="P89" s="43">
        <f t="shared" si="29"/>
        <v>1.7100000000000002</v>
      </c>
      <c r="Q89" s="43">
        <f t="shared" si="29"/>
        <v>1</v>
      </c>
      <c r="R89" s="43">
        <f t="shared" si="29"/>
        <v>1.7100000000000002</v>
      </c>
      <c r="S89" s="43">
        <f t="shared" si="29"/>
        <v>2.2230000000000003</v>
      </c>
      <c r="T89" s="43">
        <f>O89</f>
        <v>2.2230000000000003</v>
      </c>
      <c r="U89" s="43">
        <f>P89</f>
        <v>1.7100000000000002</v>
      </c>
    </row>
    <row r="90" spans="1:21" x14ac:dyDescent="0.25">
      <c r="A90" s="91" t="s">
        <v>80</v>
      </c>
      <c r="B90" s="48"/>
      <c r="C90" s="48"/>
      <c r="D90" s="48"/>
      <c r="E90" s="48"/>
      <c r="F90" s="49"/>
      <c r="G90" s="48"/>
      <c r="H90" s="48"/>
      <c r="I90" s="48"/>
      <c r="J90" s="48"/>
      <c r="K90" s="49"/>
      <c r="L90" s="48"/>
      <c r="M90" s="48"/>
      <c r="N90" s="48"/>
      <c r="O90" s="48"/>
      <c r="P90" s="49"/>
      <c r="Q90" s="48"/>
      <c r="R90" s="48"/>
      <c r="S90" s="48"/>
      <c r="T90" s="48"/>
      <c r="U90" s="49"/>
    </row>
    <row r="91" spans="1:21" x14ac:dyDescent="0.25">
      <c r="A91" s="91" t="s">
        <v>55</v>
      </c>
      <c r="C91" s="43">
        <f>SUM(C85:C90)</f>
        <v>5.919999999999999</v>
      </c>
      <c r="D91" s="43">
        <f>SUM(D85:D90)</f>
        <v>7.6959999999999997</v>
      </c>
      <c r="E91" s="43">
        <f>SUM(E85:E90)</f>
        <v>10.696</v>
      </c>
      <c r="F91" s="43">
        <f>SUM(F85:F90)</f>
        <v>6.5199999999999987</v>
      </c>
      <c r="H91" s="43">
        <f>SUM(H85:H90)</f>
        <v>6.8655999999999997</v>
      </c>
      <c r="I91" s="43">
        <f>SUM(I85:I90)</f>
        <v>9.1652799999999992</v>
      </c>
      <c r="J91" s="43">
        <f>SUM(J85:J90)</f>
        <v>12.165280000000001</v>
      </c>
      <c r="K91" s="43">
        <f>SUM(K85:K90)</f>
        <v>7.4655999999999993</v>
      </c>
      <c r="M91" s="43">
        <f>SUM(M85:M90)</f>
        <v>6.8655999999999997</v>
      </c>
      <c r="N91" s="43">
        <f>SUM(N85:N90)</f>
        <v>9.1652799999999992</v>
      </c>
      <c r="O91" s="43">
        <f>SUM(O85:O90)</f>
        <v>12.165280000000001</v>
      </c>
      <c r="P91" s="43">
        <f>SUM(P85:P90)</f>
        <v>7.4655999999999993</v>
      </c>
      <c r="R91" s="43">
        <f>SUM(R85:R90)</f>
        <v>6.8655999999999997</v>
      </c>
      <c r="S91" s="43">
        <f>SUM(S85:S90)</f>
        <v>9.1652799999999992</v>
      </c>
      <c r="T91" s="43">
        <f>SUM(T85:T90)</f>
        <v>12.165280000000001</v>
      </c>
      <c r="U91" s="43">
        <f>SUM(U85:U90)</f>
        <v>7.4655999999999993</v>
      </c>
    </row>
    <row r="93" spans="1:21" x14ac:dyDescent="0.25">
      <c r="C93" s="55" t="s">
        <v>113</v>
      </c>
      <c r="D93" s="43" t="s">
        <v>107</v>
      </c>
    </row>
    <row r="94" spans="1:21" x14ac:dyDescent="0.25">
      <c r="B94" s="57" t="s">
        <v>76</v>
      </c>
      <c r="C94" s="43" t="s">
        <v>93</v>
      </c>
      <c r="H94" s="43" t="s">
        <v>93</v>
      </c>
      <c r="L94" s="43" t="s">
        <v>93</v>
      </c>
      <c r="Q94" s="43" t="s">
        <v>93</v>
      </c>
    </row>
    <row r="95" spans="1:21" x14ac:dyDescent="0.25">
      <c r="B95" s="62" t="s">
        <v>108</v>
      </c>
      <c r="C95" s="44">
        <v>6</v>
      </c>
      <c r="H95" s="43" t="s">
        <v>95</v>
      </c>
      <c r="L95" s="43" t="s">
        <v>96</v>
      </c>
      <c r="Q95" s="44">
        <v>1</v>
      </c>
    </row>
    <row r="96" spans="1:21" x14ac:dyDescent="0.25">
      <c r="B96" s="43" t="s">
        <v>51</v>
      </c>
      <c r="C96" s="43" t="s">
        <v>37</v>
      </c>
      <c r="D96" s="43" t="s">
        <v>39</v>
      </c>
      <c r="E96" s="43" t="s">
        <v>92</v>
      </c>
      <c r="F96" s="58" t="s">
        <v>91</v>
      </c>
      <c r="G96" s="43" t="s">
        <v>51</v>
      </c>
      <c r="H96" s="43" t="s">
        <v>37</v>
      </c>
      <c r="I96" s="43" t="s">
        <v>39</v>
      </c>
      <c r="J96" s="43" t="s">
        <v>92</v>
      </c>
      <c r="K96" s="58" t="s">
        <v>91</v>
      </c>
      <c r="L96" s="60" t="s">
        <v>51</v>
      </c>
      <c r="M96" s="47" t="s">
        <v>37</v>
      </c>
      <c r="N96" s="47" t="s">
        <v>39</v>
      </c>
      <c r="O96" s="47" t="s">
        <v>92</v>
      </c>
      <c r="P96" s="58" t="s">
        <v>91</v>
      </c>
      <c r="Q96" s="60" t="s">
        <v>51</v>
      </c>
      <c r="R96" s="47" t="s">
        <v>37</v>
      </c>
      <c r="S96" s="47" t="s">
        <v>39</v>
      </c>
      <c r="T96" s="47" t="s">
        <v>92</v>
      </c>
      <c r="U96" s="58" t="s">
        <v>91</v>
      </c>
    </row>
    <row r="97" spans="1:21" x14ac:dyDescent="0.25">
      <c r="A97" s="91" t="s">
        <v>56</v>
      </c>
      <c r="B97" s="43">
        <f t="shared" ref="B97:K97" si="30">B85</f>
        <v>1</v>
      </c>
      <c r="C97" s="43">
        <f t="shared" si="30"/>
        <v>4.2099999999999991</v>
      </c>
      <c r="D97" s="43">
        <f t="shared" si="30"/>
        <v>5.472999999999999</v>
      </c>
      <c r="E97" s="43">
        <f t="shared" si="30"/>
        <v>8.472999999999999</v>
      </c>
      <c r="F97" s="43">
        <f t="shared" si="30"/>
        <v>4.8099999999999987</v>
      </c>
      <c r="G97" s="43">
        <f t="shared" si="30"/>
        <v>1</v>
      </c>
      <c r="H97" s="43">
        <f t="shared" si="30"/>
        <v>5.1555999999999997</v>
      </c>
      <c r="I97" s="43">
        <f t="shared" si="30"/>
        <v>6.9422799999999993</v>
      </c>
      <c r="J97" s="43">
        <f t="shared" si="30"/>
        <v>9.9422800000000002</v>
      </c>
      <c r="K97" s="43">
        <f t="shared" si="30"/>
        <v>5.7555999999999994</v>
      </c>
      <c r="L97" s="43">
        <f t="shared" ref="L97:S97" si="31">G97</f>
        <v>1</v>
      </c>
      <c r="M97" s="43">
        <f t="shared" si="31"/>
        <v>5.1555999999999997</v>
      </c>
      <c r="N97" s="43">
        <f t="shared" si="31"/>
        <v>6.9422799999999993</v>
      </c>
      <c r="O97" s="43">
        <f t="shared" si="31"/>
        <v>9.9422800000000002</v>
      </c>
      <c r="P97" s="43">
        <f t="shared" si="31"/>
        <v>5.7555999999999994</v>
      </c>
      <c r="Q97" s="43">
        <f t="shared" si="31"/>
        <v>1</v>
      </c>
      <c r="R97" s="43">
        <f t="shared" si="31"/>
        <v>5.1555999999999997</v>
      </c>
      <c r="S97" s="43">
        <f t="shared" si="31"/>
        <v>6.9422799999999993</v>
      </c>
      <c r="T97" s="43">
        <f>O97</f>
        <v>9.9422800000000002</v>
      </c>
      <c r="U97" s="43">
        <f>P97</f>
        <v>5.7555999999999994</v>
      </c>
    </row>
    <row r="98" spans="1:21" x14ac:dyDescent="0.25">
      <c r="A98" s="170" t="s">
        <v>340</v>
      </c>
      <c r="F98" s="46"/>
      <c r="K98" s="46"/>
      <c r="P98" s="46"/>
      <c r="U98" s="46"/>
    </row>
    <row r="99" spans="1:21" x14ac:dyDescent="0.25">
      <c r="A99" s="91" t="s">
        <v>77</v>
      </c>
      <c r="F99" s="46"/>
      <c r="K99" s="46"/>
      <c r="P99" s="46"/>
      <c r="U99" s="46"/>
    </row>
    <row r="100" spans="1:21" x14ac:dyDescent="0.25">
      <c r="A100" s="91" t="s">
        <v>78</v>
      </c>
      <c r="F100" s="46"/>
      <c r="K100" s="46"/>
      <c r="P100" s="46"/>
      <c r="U100" s="46"/>
    </row>
    <row r="101" spans="1:21" x14ac:dyDescent="0.25">
      <c r="A101" s="91" t="s">
        <v>79</v>
      </c>
      <c r="B101" s="43">
        <f>B89</f>
        <v>1</v>
      </c>
      <c r="C101" s="43">
        <f>C89</f>
        <v>1.7100000000000002</v>
      </c>
      <c r="D101" s="43">
        <f>D89</f>
        <v>2.2230000000000003</v>
      </c>
      <c r="E101" s="43">
        <f>E89</f>
        <v>2.2230000000000003</v>
      </c>
      <c r="F101" s="43">
        <f>F89</f>
        <v>1.7100000000000002</v>
      </c>
      <c r="G101" s="43">
        <f t="shared" ref="G101:U101" si="32">B101</f>
        <v>1</v>
      </c>
      <c r="H101" s="43">
        <f t="shared" si="32"/>
        <v>1.7100000000000002</v>
      </c>
      <c r="I101" s="43">
        <f t="shared" si="32"/>
        <v>2.2230000000000003</v>
      </c>
      <c r="J101" s="43">
        <f t="shared" si="32"/>
        <v>2.2230000000000003</v>
      </c>
      <c r="K101" s="43">
        <f t="shared" si="32"/>
        <v>1.7100000000000002</v>
      </c>
      <c r="L101" s="43">
        <f t="shared" si="32"/>
        <v>1</v>
      </c>
      <c r="M101" s="43">
        <f t="shared" si="32"/>
        <v>1.7100000000000002</v>
      </c>
      <c r="N101" s="43">
        <f t="shared" si="32"/>
        <v>2.2230000000000003</v>
      </c>
      <c r="O101" s="43">
        <f t="shared" si="32"/>
        <v>2.2230000000000003</v>
      </c>
      <c r="P101" s="43">
        <f t="shared" si="32"/>
        <v>1.7100000000000002</v>
      </c>
      <c r="Q101" s="43">
        <f t="shared" si="32"/>
        <v>1</v>
      </c>
      <c r="R101" s="43">
        <f t="shared" si="32"/>
        <v>1.7100000000000002</v>
      </c>
      <c r="S101" s="43">
        <f t="shared" si="32"/>
        <v>2.2230000000000003</v>
      </c>
      <c r="T101" s="43">
        <f t="shared" si="32"/>
        <v>2.2230000000000003</v>
      </c>
      <c r="U101" s="43">
        <f t="shared" si="32"/>
        <v>1.7100000000000002</v>
      </c>
    </row>
    <row r="102" spans="1:21" x14ac:dyDescent="0.25">
      <c r="A102" s="91" t="s">
        <v>80</v>
      </c>
      <c r="B102" s="48"/>
      <c r="C102" s="48"/>
      <c r="D102" s="48"/>
      <c r="E102" s="48"/>
      <c r="F102" s="49"/>
      <c r="G102" s="48"/>
      <c r="H102" s="48"/>
      <c r="I102" s="48"/>
      <c r="J102" s="48"/>
      <c r="K102" s="49"/>
      <c r="L102" s="48"/>
      <c r="M102" s="48"/>
      <c r="N102" s="48"/>
      <c r="O102" s="48"/>
      <c r="P102" s="49"/>
      <c r="Q102" s="48"/>
      <c r="R102" s="48"/>
      <c r="S102" s="48"/>
      <c r="T102" s="48"/>
      <c r="U102" s="49"/>
    </row>
    <row r="103" spans="1:21" x14ac:dyDescent="0.25">
      <c r="A103" s="91" t="s">
        <v>55</v>
      </c>
      <c r="C103" s="43">
        <f>SUM(C97:C102)</f>
        <v>5.919999999999999</v>
      </c>
      <c r="D103" s="43">
        <f>SUM(D97:D102)</f>
        <v>7.6959999999999997</v>
      </c>
      <c r="E103" s="43">
        <f>SUM(E97:E102)</f>
        <v>10.696</v>
      </c>
      <c r="F103" s="43">
        <f>SUM(F97:F102)</f>
        <v>6.5199999999999987</v>
      </c>
      <c r="H103" s="43">
        <f>SUM(H97:H102)</f>
        <v>6.8655999999999997</v>
      </c>
      <c r="I103" s="43">
        <f>SUM(I97:I102)</f>
        <v>9.1652799999999992</v>
      </c>
      <c r="J103" s="43">
        <f>SUM(J97:J102)</f>
        <v>12.165280000000001</v>
      </c>
      <c r="K103" s="43">
        <f>SUM(K97:K102)</f>
        <v>7.4655999999999993</v>
      </c>
      <c r="M103" s="43">
        <f>SUM(M97:M102)</f>
        <v>6.8655999999999997</v>
      </c>
      <c r="N103" s="43">
        <f>SUM(N97:N102)</f>
        <v>9.1652799999999992</v>
      </c>
      <c r="O103" s="43">
        <f>SUM(O97:O102)</f>
        <v>12.165280000000001</v>
      </c>
      <c r="P103" s="43">
        <f>SUM(P97:P102)</f>
        <v>7.4655999999999993</v>
      </c>
      <c r="R103" s="43">
        <f>SUM(R97:R102)</f>
        <v>6.8655999999999997</v>
      </c>
      <c r="S103" s="43">
        <f>SUM(S97:S102)</f>
        <v>9.1652799999999992</v>
      </c>
      <c r="T103" s="43">
        <f>SUM(T97:T102)</f>
        <v>12.165280000000001</v>
      </c>
      <c r="U103" s="43">
        <f>SUM(U97:U102)</f>
        <v>7.4655999999999993</v>
      </c>
    </row>
    <row r="105" spans="1:21" x14ac:dyDescent="0.25">
      <c r="B105" s="57" t="s">
        <v>76</v>
      </c>
      <c r="C105" s="43" t="s">
        <v>93</v>
      </c>
      <c r="H105" s="43" t="s">
        <v>93</v>
      </c>
      <c r="L105" s="43" t="s">
        <v>93</v>
      </c>
      <c r="Q105" s="43" t="s">
        <v>93</v>
      </c>
    </row>
    <row r="106" spans="1:21" x14ac:dyDescent="0.25">
      <c r="B106" s="43" t="s">
        <v>109</v>
      </c>
      <c r="C106" s="44">
        <v>6</v>
      </c>
      <c r="H106" s="43" t="s">
        <v>95</v>
      </c>
      <c r="L106" s="43" t="s">
        <v>96</v>
      </c>
      <c r="Q106" s="44">
        <v>1</v>
      </c>
    </row>
    <row r="107" spans="1:21" x14ac:dyDescent="0.25">
      <c r="B107" s="43" t="s">
        <v>51</v>
      </c>
      <c r="C107" s="43" t="s">
        <v>37</v>
      </c>
      <c r="D107" s="43" t="s">
        <v>39</v>
      </c>
      <c r="E107" s="43" t="s">
        <v>92</v>
      </c>
      <c r="F107" s="58" t="s">
        <v>91</v>
      </c>
      <c r="G107" s="43" t="s">
        <v>51</v>
      </c>
      <c r="H107" s="43" t="s">
        <v>37</v>
      </c>
      <c r="I107" s="43" t="s">
        <v>39</v>
      </c>
      <c r="J107" s="43" t="s">
        <v>92</v>
      </c>
      <c r="K107" s="58" t="s">
        <v>91</v>
      </c>
      <c r="L107" s="60" t="s">
        <v>51</v>
      </c>
      <c r="M107" s="47" t="s">
        <v>37</v>
      </c>
      <c r="N107" s="47" t="s">
        <v>39</v>
      </c>
      <c r="O107" s="47" t="s">
        <v>92</v>
      </c>
      <c r="P107" s="58" t="s">
        <v>91</v>
      </c>
      <c r="Q107" s="60" t="s">
        <v>51</v>
      </c>
      <c r="R107" s="47" t="s">
        <v>37</v>
      </c>
      <c r="S107" s="47" t="s">
        <v>39</v>
      </c>
      <c r="T107" s="47" t="s">
        <v>92</v>
      </c>
      <c r="U107" s="58" t="s">
        <v>91</v>
      </c>
    </row>
    <row r="108" spans="1:21" x14ac:dyDescent="0.25">
      <c r="A108" s="91" t="s">
        <v>56</v>
      </c>
      <c r="F108" s="46"/>
      <c r="K108" s="46"/>
      <c r="P108" s="46"/>
      <c r="U108" s="46"/>
    </row>
    <row r="109" spans="1:21" x14ac:dyDescent="0.25">
      <c r="A109" s="170" t="s">
        <v>340</v>
      </c>
      <c r="B109" s="43">
        <v>0.5</v>
      </c>
      <c r="C109" s="43">
        <f>B109*'analisi dei carichi'!E38</f>
        <v>1.95</v>
      </c>
      <c r="D109" s="43">
        <f>B109*'analisi dei carichi'!H38</f>
        <v>2.5350000000000001</v>
      </c>
      <c r="E109" s="43">
        <f>B109*'analisi dei carichi'!K38</f>
        <v>2.91</v>
      </c>
      <c r="F109" s="46">
        <f>B109*'analisi dei carichi'!N38</f>
        <v>1.95</v>
      </c>
      <c r="K109" s="46"/>
      <c r="P109" s="46"/>
      <c r="U109" s="46"/>
    </row>
    <row r="110" spans="1:21" x14ac:dyDescent="0.25">
      <c r="A110" s="91" t="s">
        <v>77</v>
      </c>
      <c r="B110" s="73">
        <f>(3.2/2)+1</f>
        <v>2.6</v>
      </c>
      <c r="C110" s="43">
        <f>(B110*'analisi dei carichi'!E33*(4.2/2))/4.2</f>
        <v>6.8787333333333338</v>
      </c>
      <c r="D110" s="43">
        <f>(B110*'analisi dei carichi'!H33*(4.2/2))/4.2</f>
        <v>8.9423533333333349</v>
      </c>
      <c r="E110" s="43">
        <f>(B110*'analisi dei carichi'!K33*(4.2/2))/4.2</f>
        <v>16.742353333333334</v>
      </c>
      <c r="F110" s="46">
        <f>(B110*'analisi dei carichi'!N33*(4.2/2))/4.2</f>
        <v>9.9987333333333321</v>
      </c>
      <c r="G110" s="43">
        <f>B110</f>
        <v>2.6</v>
      </c>
      <c r="H110" s="43">
        <f t="shared" ref="H110:U110" si="33">C110</f>
        <v>6.8787333333333338</v>
      </c>
      <c r="I110" s="43">
        <f t="shared" si="33"/>
        <v>8.9423533333333349</v>
      </c>
      <c r="J110" s="43">
        <f t="shared" si="33"/>
        <v>16.742353333333334</v>
      </c>
      <c r="K110" s="43">
        <f t="shared" si="33"/>
        <v>9.9987333333333321</v>
      </c>
      <c r="L110" s="43">
        <f t="shared" si="33"/>
        <v>2.6</v>
      </c>
      <c r="M110" s="43">
        <f t="shared" si="33"/>
        <v>6.8787333333333338</v>
      </c>
      <c r="N110" s="43">
        <f t="shared" si="33"/>
        <v>8.9423533333333349</v>
      </c>
      <c r="O110" s="43">
        <f t="shared" si="33"/>
        <v>16.742353333333334</v>
      </c>
      <c r="P110" s="43">
        <f t="shared" si="33"/>
        <v>9.9987333333333321</v>
      </c>
      <c r="Q110" s="43">
        <f t="shared" si="33"/>
        <v>2.6</v>
      </c>
      <c r="R110" s="43">
        <f t="shared" si="33"/>
        <v>6.8787333333333338</v>
      </c>
      <c r="S110" s="43">
        <f t="shared" si="33"/>
        <v>8.9423533333333349</v>
      </c>
      <c r="T110" s="43">
        <f t="shared" si="33"/>
        <v>16.742353333333334</v>
      </c>
      <c r="U110" s="43">
        <f t="shared" si="33"/>
        <v>9.9987333333333321</v>
      </c>
    </row>
    <row r="111" spans="1:21" x14ac:dyDescent="0.25">
      <c r="A111" s="91" t="s">
        <v>78</v>
      </c>
      <c r="B111" s="43">
        <v>1</v>
      </c>
      <c r="C111" s="43">
        <f>B111*'analisi dei carichi'!E37</f>
        <v>2.9550000000000001</v>
      </c>
      <c r="D111" s="43">
        <f>B111*'analisi dei carichi'!H37</f>
        <v>3.8415000000000004</v>
      </c>
      <c r="E111" s="43">
        <f>B111*'analisi dei carichi'!K37</f>
        <v>3.8415000000000004</v>
      </c>
      <c r="F111" s="46">
        <f>B111*'analisi dei carichi'!N37</f>
        <v>2.9550000000000001</v>
      </c>
      <c r="G111" s="43">
        <f>B111</f>
        <v>1</v>
      </c>
      <c r="H111" s="43">
        <f>C111</f>
        <v>2.9550000000000001</v>
      </c>
      <c r="I111" s="43">
        <f>D111</f>
        <v>3.8415000000000004</v>
      </c>
      <c r="J111" s="43">
        <f>E111</f>
        <v>3.8415000000000004</v>
      </c>
      <c r="K111" s="43">
        <f>F111</f>
        <v>2.9550000000000001</v>
      </c>
      <c r="L111" s="43">
        <f>1</f>
        <v>1</v>
      </c>
      <c r="M111" s="43">
        <f>L111*'analisi dei carichi'!E30</f>
        <v>3.7050000000000001</v>
      </c>
      <c r="N111" s="43">
        <f>L111*'analisi dei carichi'!H30</f>
        <v>4.8165000000000004</v>
      </c>
      <c r="O111" s="43">
        <f>L111*'analisi dei carichi'!K30</f>
        <v>4.8165000000000004</v>
      </c>
      <c r="P111" s="46">
        <f>L111*'analisi dei carichi'!N30</f>
        <v>3.7050000000000001</v>
      </c>
      <c r="Q111" s="43">
        <f>L111</f>
        <v>1</v>
      </c>
      <c r="R111" s="43">
        <f>M111</f>
        <v>3.7050000000000001</v>
      </c>
      <c r="S111" s="43">
        <f>N111</f>
        <v>4.8165000000000004</v>
      </c>
      <c r="T111" s="43">
        <f>O111</f>
        <v>4.8165000000000004</v>
      </c>
      <c r="U111" s="43">
        <f>P111</f>
        <v>3.7050000000000001</v>
      </c>
    </row>
    <row r="112" spans="1:21" x14ac:dyDescent="0.25">
      <c r="A112" s="91" t="s">
        <v>79</v>
      </c>
      <c r="F112" s="46"/>
      <c r="K112" s="46"/>
      <c r="P112" s="46"/>
      <c r="U112" s="46"/>
    </row>
    <row r="113" spans="1:21" x14ac:dyDescent="0.25">
      <c r="A113" s="91" t="s">
        <v>80</v>
      </c>
      <c r="B113" s="48">
        <v>0.9</v>
      </c>
      <c r="C113" s="48">
        <f>B113*'analisi dei carichi'!E29</f>
        <v>5.1480000000000006</v>
      </c>
      <c r="D113" s="48">
        <f>B113*'analisi dei carichi'!H29</f>
        <v>6.692400000000001</v>
      </c>
      <c r="E113" s="48">
        <f>B113*'analisi dei carichi'!K29</f>
        <v>6.692400000000001</v>
      </c>
      <c r="F113" s="49">
        <f>B113*'analisi dei carichi'!N29</f>
        <v>5.1480000000000006</v>
      </c>
      <c r="G113" s="48">
        <f t="shared" ref="G113:U113" si="34">B113</f>
        <v>0.9</v>
      </c>
      <c r="H113" s="48">
        <f t="shared" si="34"/>
        <v>5.1480000000000006</v>
      </c>
      <c r="I113" s="48">
        <f t="shared" si="34"/>
        <v>6.692400000000001</v>
      </c>
      <c r="J113" s="48">
        <f t="shared" si="34"/>
        <v>6.692400000000001</v>
      </c>
      <c r="K113" s="48">
        <f t="shared" si="34"/>
        <v>5.1480000000000006</v>
      </c>
      <c r="L113" s="48">
        <f t="shared" si="34"/>
        <v>0.9</v>
      </c>
      <c r="M113" s="48">
        <f t="shared" si="34"/>
        <v>5.1480000000000006</v>
      </c>
      <c r="N113" s="48">
        <f t="shared" si="34"/>
        <v>6.692400000000001</v>
      </c>
      <c r="O113" s="48">
        <f t="shared" si="34"/>
        <v>6.692400000000001</v>
      </c>
      <c r="P113" s="48">
        <f t="shared" si="34"/>
        <v>5.1480000000000006</v>
      </c>
      <c r="Q113" s="48">
        <f t="shared" si="34"/>
        <v>0.9</v>
      </c>
      <c r="R113" s="48">
        <f t="shared" si="34"/>
        <v>5.1480000000000006</v>
      </c>
      <c r="S113" s="48">
        <f t="shared" si="34"/>
        <v>6.692400000000001</v>
      </c>
      <c r="T113" s="48">
        <f t="shared" si="34"/>
        <v>6.692400000000001</v>
      </c>
      <c r="U113" s="48">
        <f t="shared" si="34"/>
        <v>5.1480000000000006</v>
      </c>
    </row>
    <row r="114" spans="1:21" x14ac:dyDescent="0.25">
      <c r="A114" s="91" t="s">
        <v>55</v>
      </c>
      <c r="C114" s="43">
        <f>SUM(C108:C113)</f>
        <v>16.931733333333334</v>
      </c>
      <c r="D114" s="43">
        <f>SUM(D108:D113)</f>
        <v>22.011253333333336</v>
      </c>
      <c r="E114" s="43">
        <f>SUM(E108:E113)</f>
        <v>30.186253333333333</v>
      </c>
      <c r="F114" s="43">
        <f>SUM(F108:F113)</f>
        <v>20.051733333333331</v>
      </c>
      <c r="H114" s="43">
        <f>SUM(H108:H113)</f>
        <v>14.981733333333334</v>
      </c>
      <c r="I114" s="43">
        <f>SUM(I108:I113)</f>
        <v>19.476253333333336</v>
      </c>
      <c r="J114" s="43">
        <f>SUM(J108:J113)</f>
        <v>27.276253333333337</v>
      </c>
      <c r="K114" s="43">
        <f>SUM(K108:K113)</f>
        <v>18.101733333333332</v>
      </c>
      <c r="M114" s="43">
        <f>SUM(M108:M113)</f>
        <v>15.731733333333334</v>
      </c>
      <c r="N114" s="43">
        <f>SUM(N108:N113)</f>
        <v>20.451253333333334</v>
      </c>
      <c r="O114" s="43">
        <f>SUM(O108:O113)</f>
        <v>28.251253333333338</v>
      </c>
      <c r="P114" s="43">
        <f>SUM(P108:P113)</f>
        <v>18.851733333333332</v>
      </c>
      <c r="R114" s="43">
        <f>SUM(R108:R113)</f>
        <v>15.731733333333334</v>
      </c>
      <c r="S114" s="43">
        <f>SUM(S108:S113)</f>
        <v>20.451253333333334</v>
      </c>
      <c r="T114" s="43">
        <f>SUM(T108:T113)</f>
        <v>28.251253333333338</v>
      </c>
      <c r="U114" s="43">
        <f>SUM(U108:U113)</f>
        <v>18.851733333333332</v>
      </c>
    </row>
    <row r="116" spans="1:21" x14ac:dyDescent="0.25">
      <c r="C116" s="55" t="s">
        <v>115</v>
      </c>
      <c r="D116" s="43" t="str">
        <f>B118</f>
        <v>1-5</v>
      </c>
    </row>
    <row r="117" spans="1:21" x14ac:dyDescent="0.25">
      <c r="B117" s="57" t="s">
        <v>76</v>
      </c>
      <c r="C117" s="43" t="s">
        <v>93</v>
      </c>
      <c r="H117" s="43" t="s">
        <v>93</v>
      </c>
      <c r="L117" s="43" t="s">
        <v>93</v>
      </c>
      <c r="Q117" s="43" t="s">
        <v>93</v>
      </c>
    </row>
    <row r="118" spans="1:21" x14ac:dyDescent="0.25">
      <c r="B118" s="62" t="s">
        <v>116</v>
      </c>
      <c r="C118" s="44">
        <v>6</v>
      </c>
      <c r="H118" s="43" t="s">
        <v>95</v>
      </c>
      <c r="L118" s="43" t="s">
        <v>96</v>
      </c>
      <c r="Q118" s="44">
        <v>1</v>
      </c>
    </row>
    <row r="119" spans="1:21" x14ac:dyDescent="0.25">
      <c r="B119" s="47" t="s">
        <v>51</v>
      </c>
      <c r="C119" s="47" t="s">
        <v>37</v>
      </c>
      <c r="D119" s="47" t="s">
        <v>39</v>
      </c>
      <c r="E119" s="47" t="s">
        <v>92</v>
      </c>
      <c r="F119" s="58" t="s">
        <v>91</v>
      </c>
      <c r="G119" s="47" t="s">
        <v>51</v>
      </c>
      <c r="H119" s="47" t="s">
        <v>37</v>
      </c>
      <c r="I119" s="47" t="s">
        <v>39</v>
      </c>
      <c r="J119" s="47" t="s">
        <v>92</v>
      </c>
      <c r="K119" s="58" t="s">
        <v>91</v>
      </c>
      <c r="L119" s="47" t="s">
        <v>51</v>
      </c>
      <c r="M119" s="47" t="s">
        <v>37</v>
      </c>
      <c r="N119" s="47" t="s">
        <v>39</v>
      </c>
      <c r="O119" s="47" t="s">
        <v>92</v>
      </c>
      <c r="P119" s="58" t="s">
        <v>91</v>
      </c>
      <c r="Q119" s="47" t="s">
        <v>51</v>
      </c>
      <c r="R119" s="47" t="s">
        <v>37</v>
      </c>
      <c r="S119" s="47" t="s">
        <v>39</v>
      </c>
      <c r="T119" s="47" t="s">
        <v>92</v>
      </c>
      <c r="U119" s="58" t="s">
        <v>91</v>
      </c>
    </row>
    <row r="120" spans="1:21" x14ac:dyDescent="0.25">
      <c r="A120" s="91" t="s">
        <v>56</v>
      </c>
      <c r="C120" s="47"/>
      <c r="D120" s="47"/>
      <c r="E120" s="47"/>
      <c r="F120" s="46"/>
      <c r="G120" s="47">
        <v>0.5</v>
      </c>
      <c r="H120" s="47">
        <f>G120*'analisi dei carichi'!O28</f>
        <v>2.5777999999999999</v>
      </c>
      <c r="I120" s="47">
        <f>G120*'analisi dei carichi'!P28</f>
        <v>3.4711399999999997</v>
      </c>
      <c r="J120" s="47">
        <f>G120*'analisi dei carichi'!K28</f>
        <v>4.9711400000000001</v>
      </c>
      <c r="K120" s="46">
        <f>G120*'analisi dei carichi'!N28</f>
        <v>2.8777999999999997</v>
      </c>
      <c r="L120" s="47">
        <f>G120</f>
        <v>0.5</v>
      </c>
      <c r="M120" s="47">
        <f t="shared" ref="M120:U120" si="35">H120</f>
        <v>2.5777999999999999</v>
      </c>
      <c r="N120" s="47">
        <f t="shared" si="35"/>
        <v>3.4711399999999997</v>
      </c>
      <c r="O120" s="47">
        <f t="shared" si="35"/>
        <v>4.9711400000000001</v>
      </c>
      <c r="P120" s="47">
        <f t="shared" si="35"/>
        <v>2.8777999999999997</v>
      </c>
      <c r="Q120" s="47">
        <f t="shared" si="35"/>
        <v>0.5</v>
      </c>
      <c r="R120" s="47">
        <f t="shared" si="35"/>
        <v>2.5777999999999999</v>
      </c>
      <c r="S120" s="47">
        <f t="shared" si="35"/>
        <v>3.4711399999999997</v>
      </c>
      <c r="T120" s="47">
        <f t="shared" si="35"/>
        <v>4.9711400000000001</v>
      </c>
      <c r="U120" s="47">
        <f t="shared" si="35"/>
        <v>2.8777999999999997</v>
      </c>
    </row>
    <row r="121" spans="1:21" x14ac:dyDescent="0.25">
      <c r="A121" s="170" t="s">
        <v>340</v>
      </c>
      <c r="B121" s="47">
        <v>1</v>
      </c>
      <c r="C121" s="47">
        <f>B121*'analisi dei carichi'!E38</f>
        <v>3.9</v>
      </c>
      <c r="D121" s="47">
        <f>B121*'analisi dei carichi'!H38</f>
        <v>5.07</v>
      </c>
      <c r="E121" s="47">
        <f>B121*'analisi dei carichi'!K38</f>
        <v>5.82</v>
      </c>
      <c r="F121" s="46">
        <f>B121*'analisi dei carichi'!N38</f>
        <v>3.9</v>
      </c>
      <c r="G121" s="47"/>
      <c r="H121" s="47"/>
      <c r="I121" s="47"/>
      <c r="J121" s="47"/>
      <c r="K121" s="46"/>
      <c r="L121" s="47"/>
      <c r="M121" s="47"/>
      <c r="N121" s="47"/>
      <c r="O121" s="47"/>
      <c r="P121" s="46"/>
      <c r="Q121" s="47"/>
      <c r="R121" s="47"/>
      <c r="S121" s="47"/>
      <c r="T121" s="47"/>
      <c r="U121" s="46"/>
    </row>
    <row r="122" spans="1:21" x14ac:dyDescent="0.25">
      <c r="A122" s="91" t="s">
        <v>77</v>
      </c>
      <c r="B122" s="47"/>
      <c r="C122" s="47"/>
      <c r="D122" s="47"/>
      <c r="E122" s="47"/>
      <c r="F122" s="46"/>
      <c r="G122" s="47"/>
      <c r="H122" s="47"/>
      <c r="I122" s="47"/>
      <c r="J122" s="47"/>
      <c r="K122" s="46"/>
      <c r="L122" s="47"/>
      <c r="M122" s="47"/>
      <c r="N122" s="47"/>
      <c r="O122" s="47"/>
      <c r="P122" s="46"/>
      <c r="Q122" s="47"/>
      <c r="R122" s="47"/>
      <c r="S122" s="47"/>
      <c r="T122" s="47"/>
      <c r="U122" s="46"/>
    </row>
    <row r="123" spans="1:21" x14ac:dyDescent="0.25">
      <c r="A123" s="91" t="s">
        <v>78</v>
      </c>
      <c r="B123" s="47">
        <v>1</v>
      </c>
      <c r="C123" s="47">
        <f>B123*'analisi dei carichi'!E37</f>
        <v>2.9550000000000001</v>
      </c>
      <c r="D123" s="47">
        <f>B123*'analisi dei carichi'!H37</f>
        <v>3.8415000000000004</v>
      </c>
      <c r="E123" s="47">
        <f>B123*'analisi dei carichi'!K37</f>
        <v>3.8415000000000004</v>
      </c>
      <c r="F123" s="46">
        <f>B123*'analisi dei carichi'!N37</f>
        <v>2.9550000000000001</v>
      </c>
      <c r="G123" s="47">
        <f>B123</f>
        <v>1</v>
      </c>
      <c r="H123" s="47">
        <f>C123</f>
        <v>2.9550000000000001</v>
      </c>
      <c r="I123" s="47">
        <f>D123</f>
        <v>3.8415000000000004</v>
      </c>
      <c r="J123" s="47">
        <f>E123</f>
        <v>3.8415000000000004</v>
      </c>
      <c r="K123" s="47">
        <f>F123</f>
        <v>2.9550000000000001</v>
      </c>
      <c r="L123" s="47">
        <v>1</v>
      </c>
      <c r="M123" s="54">
        <f>L123*'analisi dei carichi'!E30</f>
        <v>3.7050000000000001</v>
      </c>
      <c r="N123" s="47">
        <f>L123*'analisi dei carichi'!H30</f>
        <v>4.8165000000000004</v>
      </c>
      <c r="O123" s="47">
        <f>L123*'analisi dei carichi'!K30</f>
        <v>4.8165000000000004</v>
      </c>
      <c r="P123" s="46">
        <f>L123*'analisi dei carichi'!N30</f>
        <v>3.7050000000000001</v>
      </c>
      <c r="Q123" s="47">
        <f>L123</f>
        <v>1</v>
      </c>
      <c r="R123" s="47">
        <f>M123</f>
        <v>3.7050000000000001</v>
      </c>
      <c r="S123" s="47">
        <f>N123</f>
        <v>4.8165000000000004</v>
      </c>
      <c r="T123" s="47">
        <f>O123</f>
        <v>4.8165000000000004</v>
      </c>
      <c r="U123" s="47">
        <f>P123</f>
        <v>3.7050000000000001</v>
      </c>
    </row>
    <row r="124" spans="1:21" x14ac:dyDescent="0.25">
      <c r="A124" s="91" t="s">
        <v>79</v>
      </c>
      <c r="B124" s="47"/>
      <c r="C124" s="47"/>
      <c r="D124" s="47"/>
      <c r="E124" s="47"/>
      <c r="F124" s="46"/>
      <c r="G124" s="47"/>
      <c r="H124" s="47"/>
      <c r="I124" s="47"/>
      <c r="J124" s="47"/>
      <c r="K124" s="46"/>
      <c r="L124" s="47"/>
      <c r="M124" s="47"/>
      <c r="N124" s="47"/>
      <c r="O124" s="47"/>
      <c r="P124" s="46"/>
      <c r="Q124" s="47"/>
      <c r="R124" s="47"/>
      <c r="S124" s="47"/>
      <c r="T124" s="47"/>
      <c r="U124" s="46"/>
    </row>
    <row r="125" spans="1:21" x14ac:dyDescent="0.25">
      <c r="A125" s="91" t="s">
        <v>80</v>
      </c>
      <c r="B125" s="48"/>
      <c r="C125" s="48"/>
      <c r="D125" s="48"/>
      <c r="E125" s="48"/>
      <c r="F125" s="48"/>
      <c r="G125" s="48">
        <v>0.9</v>
      </c>
      <c r="H125" s="48">
        <f>G125*'analisi dei carichi'!E29</f>
        <v>5.1480000000000006</v>
      </c>
      <c r="I125" s="48">
        <f>G125*'analisi dei carichi'!H29</f>
        <v>6.692400000000001</v>
      </c>
      <c r="J125" s="48">
        <f>G125*'analisi dei carichi'!K29</f>
        <v>6.692400000000001</v>
      </c>
      <c r="K125" s="49">
        <f>G125*'analisi dei carichi'!N29</f>
        <v>5.1480000000000006</v>
      </c>
      <c r="L125" s="48">
        <f>G125</f>
        <v>0.9</v>
      </c>
      <c r="M125" s="48">
        <f t="shared" ref="M125:U125" si="36">H125</f>
        <v>5.1480000000000006</v>
      </c>
      <c r="N125" s="48">
        <f t="shared" si="36"/>
        <v>6.692400000000001</v>
      </c>
      <c r="O125" s="48">
        <f t="shared" si="36"/>
        <v>6.692400000000001</v>
      </c>
      <c r="P125" s="48">
        <f t="shared" si="36"/>
        <v>5.1480000000000006</v>
      </c>
      <c r="Q125" s="48">
        <f t="shared" si="36"/>
        <v>0.9</v>
      </c>
      <c r="R125" s="48">
        <f t="shared" si="36"/>
        <v>5.1480000000000006</v>
      </c>
      <c r="S125" s="48">
        <f t="shared" si="36"/>
        <v>6.692400000000001</v>
      </c>
      <c r="T125" s="48">
        <f t="shared" si="36"/>
        <v>6.692400000000001</v>
      </c>
      <c r="U125" s="48">
        <f t="shared" si="36"/>
        <v>5.1480000000000006</v>
      </c>
    </row>
    <row r="126" spans="1:21" x14ac:dyDescent="0.25">
      <c r="A126" s="91" t="s">
        <v>55</v>
      </c>
      <c r="C126" s="43">
        <f>SUM(C120:C125)</f>
        <v>6.8550000000000004</v>
      </c>
      <c r="D126" s="43">
        <f>SUM(D120:D125)</f>
        <v>8.9115000000000002</v>
      </c>
      <c r="E126" s="43">
        <f t="shared" ref="E126:U126" si="37">SUM(E120:E125)</f>
        <v>9.6615000000000002</v>
      </c>
      <c r="F126" s="43">
        <f t="shared" si="37"/>
        <v>6.8550000000000004</v>
      </c>
      <c r="H126" s="43">
        <f t="shared" si="37"/>
        <v>10.680800000000001</v>
      </c>
      <c r="I126" s="43">
        <f t="shared" si="37"/>
        <v>14.005040000000001</v>
      </c>
      <c r="J126" s="43">
        <f t="shared" si="37"/>
        <v>15.505040000000001</v>
      </c>
      <c r="K126" s="43">
        <f t="shared" si="37"/>
        <v>10.9808</v>
      </c>
      <c r="M126" s="43">
        <f t="shared" si="37"/>
        <v>11.430800000000001</v>
      </c>
      <c r="N126" s="43">
        <f t="shared" si="37"/>
        <v>14.980040000000001</v>
      </c>
      <c r="O126" s="43">
        <f t="shared" si="37"/>
        <v>16.480040000000002</v>
      </c>
      <c r="P126" s="43">
        <f t="shared" si="37"/>
        <v>11.7308</v>
      </c>
      <c r="R126" s="43">
        <f t="shared" si="37"/>
        <v>11.430800000000001</v>
      </c>
      <c r="S126" s="43">
        <f t="shared" si="37"/>
        <v>14.980040000000001</v>
      </c>
      <c r="T126" s="43">
        <f t="shared" si="37"/>
        <v>16.480040000000002</v>
      </c>
      <c r="U126" s="43">
        <f t="shared" si="37"/>
        <v>11.7308</v>
      </c>
    </row>
    <row r="128" spans="1:21" x14ac:dyDescent="0.25">
      <c r="C128" s="55" t="s">
        <v>117</v>
      </c>
      <c r="D128" s="43" t="str">
        <f>B130</f>
        <v>4-8,20-24</v>
      </c>
    </row>
    <row r="129" spans="1:21" x14ac:dyDescent="0.25">
      <c r="B129" s="57" t="s">
        <v>76</v>
      </c>
      <c r="C129" s="43" t="s">
        <v>93</v>
      </c>
      <c r="H129" s="43" t="s">
        <v>93</v>
      </c>
      <c r="L129" s="43" t="s">
        <v>93</v>
      </c>
      <c r="Q129" s="43" t="s">
        <v>93</v>
      </c>
    </row>
    <row r="130" spans="1:21" x14ac:dyDescent="0.25">
      <c r="B130" s="62" t="s">
        <v>118</v>
      </c>
      <c r="C130" s="44">
        <v>6</v>
      </c>
      <c r="H130" s="43" t="s">
        <v>95</v>
      </c>
      <c r="L130" s="43" t="s">
        <v>96</v>
      </c>
      <c r="Q130" s="44">
        <v>1</v>
      </c>
    </row>
    <row r="131" spans="1:21" x14ac:dyDescent="0.25">
      <c r="B131" s="47" t="s">
        <v>51</v>
      </c>
      <c r="C131" s="47" t="s">
        <v>37</v>
      </c>
      <c r="D131" s="47" t="s">
        <v>39</v>
      </c>
      <c r="E131" s="47" t="s">
        <v>92</v>
      </c>
      <c r="F131" s="58" t="s">
        <v>91</v>
      </c>
      <c r="G131" s="47" t="s">
        <v>51</v>
      </c>
      <c r="H131" s="47" t="s">
        <v>37</v>
      </c>
      <c r="I131" s="47" t="s">
        <v>39</v>
      </c>
      <c r="J131" s="47" t="s">
        <v>92</v>
      </c>
      <c r="K131" s="58" t="s">
        <v>91</v>
      </c>
      <c r="L131" s="47" t="s">
        <v>51</v>
      </c>
      <c r="M131" s="47" t="s">
        <v>37</v>
      </c>
      <c r="N131" s="47" t="s">
        <v>39</v>
      </c>
      <c r="O131" s="47" t="s">
        <v>92</v>
      </c>
      <c r="P131" s="58" t="s">
        <v>91</v>
      </c>
      <c r="Q131" s="47" t="s">
        <v>51</v>
      </c>
      <c r="R131" s="47" t="s">
        <v>37</v>
      </c>
      <c r="S131" s="47" t="s">
        <v>39</v>
      </c>
      <c r="T131" s="47" t="s">
        <v>92</v>
      </c>
      <c r="U131" s="58" t="s">
        <v>91</v>
      </c>
    </row>
    <row r="132" spans="1:21" x14ac:dyDescent="0.25">
      <c r="A132" s="91" t="s">
        <v>56</v>
      </c>
      <c r="B132" s="47"/>
      <c r="C132" s="47"/>
      <c r="D132" s="47"/>
      <c r="E132" s="47"/>
      <c r="F132" s="46"/>
      <c r="G132" s="43">
        <f>G120</f>
        <v>0.5</v>
      </c>
      <c r="H132" s="43">
        <f t="shared" ref="H132:U132" si="38">H120</f>
        <v>2.5777999999999999</v>
      </c>
      <c r="I132" s="43">
        <f t="shared" si="38"/>
        <v>3.4711399999999997</v>
      </c>
      <c r="J132" s="43">
        <f t="shared" si="38"/>
        <v>4.9711400000000001</v>
      </c>
      <c r="K132" s="43">
        <f t="shared" si="38"/>
        <v>2.8777999999999997</v>
      </c>
      <c r="L132" s="43">
        <f t="shared" si="38"/>
        <v>0.5</v>
      </c>
      <c r="M132" s="43">
        <f t="shared" si="38"/>
        <v>2.5777999999999999</v>
      </c>
      <c r="N132" s="43">
        <f t="shared" si="38"/>
        <v>3.4711399999999997</v>
      </c>
      <c r="O132" s="43">
        <f t="shared" si="38"/>
        <v>4.9711400000000001</v>
      </c>
      <c r="P132" s="43">
        <f t="shared" si="38"/>
        <v>2.8777999999999997</v>
      </c>
      <c r="Q132" s="43">
        <f t="shared" si="38"/>
        <v>0.5</v>
      </c>
      <c r="R132" s="43">
        <f t="shared" si="38"/>
        <v>2.5777999999999999</v>
      </c>
      <c r="S132" s="43">
        <f t="shared" si="38"/>
        <v>3.4711399999999997</v>
      </c>
      <c r="T132" s="43">
        <f t="shared" si="38"/>
        <v>4.9711400000000001</v>
      </c>
      <c r="U132" s="43">
        <f t="shared" si="38"/>
        <v>2.8777999999999997</v>
      </c>
    </row>
    <row r="133" spans="1:21" x14ac:dyDescent="0.25">
      <c r="A133" s="170" t="s">
        <v>340</v>
      </c>
      <c r="B133" s="47">
        <f>B121</f>
        <v>1</v>
      </c>
      <c r="C133" s="47">
        <f>C121</f>
        <v>3.9</v>
      </c>
      <c r="D133" s="47">
        <f>D121</f>
        <v>5.07</v>
      </c>
      <c r="E133" s="47">
        <f>E121</f>
        <v>5.82</v>
      </c>
      <c r="F133" s="47">
        <f>F121</f>
        <v>3.9</v>
      </c>
      <c r="K133" s="46"/>
      <c r="P133" s="46"/>
      <c r="U133" s="46"/>
    </row>
    <row r="134" spans="1:21" x14ac:dyDescent="0.25">
      <c r="A134" s="91" t="s">
        <v>77</v>
      </c>
      <c r="B134" s="47"/>
      <c r="C134" s="47"/>
      <c r="D134" s="47"/>
      <c r="E134" s="47"/>
      <c r="F134" s="46"/>
      <c r="K134" s="46"/>
      <c r="P134" s="46"/>
      <c r="U134" s="46"/>
    </row>
    <row r="135" spans="1:21" x14ac:dyDescent="0.25">
      <c r="A135" s="91" t="s">
        <v>78</v>
      </c>
      <c r="B135" s="47">
        <f>B123</f>
        <v>1</v>
      </c>
      <c r="C135" s="47">
        <f t="shared" ref="C135:U135" si="39">C123</f>
        <v>2.9550000000000001</v>
      </c>
      <c r="D135" s="47">
        <f t="shared" si="39"/>
        <v>3.8415000000000004</v>
      </c>
      <c r="E135" s="47">
        <f t="shared" si="39"/>
        <v>3.8415000000000004</v>
      </c>
      <c r="F135" s="47">
        <f t="shared" si="39"/>
        <v>2.9550000000000001</v>
      </c>
      <c r="G135" s="47">
        <f t="shared" si="39"/>
        <v>1</v>
      </c>
      <c r="H135" s="47">
        <f t="shared" si="39"/>
        <v>2.9550000000000001</v>
      </c>
      <c r="I135" s="47">
        <f t="shared" si="39"/>
        <v>3.8415000000000004</v>
      </c>
      <c r="J135" s="47">
        <f t="shared" si="39"/>
        <v>3.8415000000000004</v>
      </c>
      <c r="K135" s="47">
        <f t="shared" si="39"/>
        <v>2.9550000000000001</v>
      </c>
      <c r="L135" s="47">
        <f t="shared" si="39"/>
        <v>1</v>
      </c>
      <c r="M135" s="47">
        <f t="shared" si="39"/>
        <v>3.7050000000000001</v>
      </c>
      <c r="N135" s="47">
        <f t="shared" si="39"/>
        <v>4.8165000000000004</v>
      </c>
      <c r="O135" s="47">
        <f t="shared" si="39"/>
        <v>4.8165000000000004</v>
      </c>
      <c r="P135" s="47">
        <f t="shared" si="39"/>
        <v>3.7050000000000001</v>
      </c>
      <c r="Q135" s="47">
        <f t="shared" si="39"/>
        <v>1</v>
      </c>
      <c r="R135" s="47">
        <f t="shared" si="39"/>
        <v>3.7050000000000001</v>
      </c>
      <c r="S135" s="47">
        <f t="shared" si="39"/>
        <v>4.8165000000000004</v>
      </c>
      <c r="T135" s="47">
        <f t="shared" si="39"/>
        <v>4.8165000000000004</v>
      </c>
      <c r="U135" s="47">
        <f t="shared" si="39"/>
        <v>3.7050000000000001</v>
      </c>
    </row>
    <row r="136" spans="1:21" x14ac:dyDescent="0.25">
      <c r="A136" s="91" t="s">
        <v>79</v>
      </c>
      <c r="B136" s="47"/>
      <c r="C136" s="47"/>
      <c r="D136" s="47"/>
      <c r="E136" s="47"/>
      <c r="F136" s="46"/>
      <c r="K136" s="46"/>
      <c r="P136" s="46"/>
      <c r="U136" s="46"/>
    </row>
    <row r="137" spans="1:21" x14ac:dyDescent="0.25">
      <c r="A137" s="91" t="s">
        <v>80</v>
      </c>
      <c r="B137" s="48"/>
      <c r="C137" s="48"/>
      <c r="D137" s="48"/>
      <c r="E137" s="48"/>
      <c r="F137" s="49"/>
      <c r="G137" s="48">
        <f>G125</f>
        <v>0.9</v>
      </c>
      <c r="H137" s="48">
        <f t="shared" ref="H137:U137" si="40">H125</f>
        <v>5.1480000000000006</v>
      </c>
      <c r="I137" s="48">
        <f t="shared" si="40"/>
        <v>6.692400000000001</v>
      </c>
      <c r="J137" s="48">
        <f t="shared" si="40"/>
        <v>6.692400000000001</v>
      </c>
      <c r="K137" s="48">
        <f t="shared" si="40"/>
        <v>5.1480000000000006</v>
      </c>
      <c r="L137" s="48">
        <f t="shared" si="40"/>
        <v>0.9</v>
      </c>
      <c r="M137" s="48">
        <f t="shared" si="40"/>
        <v>5.1480000000000006</v>
      </c>
      <c r="N137" s="48">
        <f t="shared" si="40"/>
        <v>6.692400000000001</v>
      </c>
      <c r="O137" s="48">
        <f t="shared" si="40"/>
        <v>6.692400000000001</v>
      </c>
      <c r="P137" s="48">
        <f t="shared" si="40"/>
        <v>5.1480000000000006</v>
      </c>
      <c r="Q137" s="48">
        <f t="shared" si="40"/>
        <v>0.9</v>
      </c>
      <c r="R137" s="48">
        <f t="shared" si="40"/>
        <v>5.1480000000000006</v>
      </c>
      <c r="S137" s="48">
        <f t="shared" si="40"/>
        <v>6.692400000000001</v>
      </c>
      <c r="T137" s="48">
        <f t="shared" si="40"/>
        <v>6.692400000000001</v>
      </c>
      <c r="U137" s="48">
        <f t="shared" si="40"/>
        <v>5.1480000000000006</v>
      </c>
    </row>
    <row r="138" spans="1:21" x14ac:dyDescent="0.25">
      <c r="A138" s="91" t="s">
        <v>55</v>
      </c>
      <c r="C138" s="43">
        <f>SUM(C132:C137)</f>
        <v>6.8550000000000004</v>
      </c>
      <c r="D138" s="43">
        <f t="shared" ref="D138:U138" si="41">SUM(D132:D137)</f>
        <v>8.9115000000000002</v>
      </c>
      <c r="E138" s="43">
        <f t="shared" si="41"/>
        <v>9.6615000000000002</v>
      </c>
      <c r="F138" s="43">
        <f t="shared" si="41"/>
        <v>6.8550000000000004</v>
      </c>
      <c r="H138" s="43">
        <f t="shared" si="41"/>
        <v>10.680800000000001</v>
      </c>
      <c r="I138" s="43">
        <f t="shared" si="41"/>
        <v>14.005040000000001</v>
      </c>
      <c r="J138" s="43">
        <f t="shared" si="41"/>
        <v>15.505040000000001</v>
      </c>
      <c r="K138" s="43">
        <f t="shared" si="41"/>
        <v>10.9808</v>
      </c>
      <c r="M138" s="43">
        <f t="shared" si="41"/>
        <v>11.430800000000001</v>
      </c>
      <c r="N138" s="43">
        <f t="shared" si="41"/>
        <v>14.980040000000001</v>
      </c>
      <c r="O138" s="43">
        <f t="shared" si="41"/>
        <v>16.480040000000002</v>
      </c>
      <c r="P138" s="43">
        <f t="shared" si="41"/>
        <v>11.7308</v>
      </c>
      <c r="R138" s="43">
        <f t="shared" si="41"/>
        <v>11.430800000000001</v>
      </c>
      <c r="S138" s="43">
        <f t="shared" si="41"/>
        <v>14.980040000000001</v>
      </c>
      <c r="T138" s="43">
        <f t="shared" si="41"/>
        <v>16.480040000000002</v>
      </c>
      <c r="U138" s="43">
        <f t="shared" si="41"/>
        <v>11.7308</v>
      </c>
    </row>
    <row r="140" spans="1:21" x14ac:dyDescent="0.25">
      <c r="C140" s="55" t="s">
        <v>117</v>
      </c>
      <c r="D140" s="62" t="str">
        <f>B142</f>
        <v>8-12, 16-20</v>
      </c>
    </row>
    <row r="141" spans="1:21" x14ac:dyDescent="0.25">
      <c r="B141" s="57" t="s">
        <v>76</v>
      </c>
      <c r="C141" s="43" t="s">
        <v>93</v>
      </c>
      <c r="H141" s="43" t="s">
        <v>93</v>
      </c>
      <c r="L141" s="43" t="s">
        <v>93</v>
      </c>
      <c r="Q141" s="43" t="s">
        <v>93</v>
      </c>
    </row>
    <row r="142" spans="1:21" x14ac:dyDescent="0.25">
      <c r="B142" s="62" t="s">
        <v>119</v>
      </c>
      <c r="C142" s="44">
        <v>6</v>
      </c>
      <c r="H142" s="43" t="s">
        <v>95</v>
      </c>
      <c r="L142" s="43" t="s">
        <v>96</v>
      </c>
      <c r="Q142" s="44">
        <v>1</v>
      </c>
    </row>
    <row r="143" spans="1:21" x14ac:dyDescent="0.25">
      <c r="B143" s="47" t="s">
        <v>51</v>
      </c>
      <c r="C143" s="47" t="s">
        <v>37</v>
      </c>
      <c r="D143" s="47" t="s">
        <v>39</v>
      </c>
      <c r="E143" s="47" t="s">
        <v>92</v>
      </c>
      <c r="F143" s="58" t="s">
        <v>91</v>
      </c>
      <c r="G143" s="47" t="s">
        <v>51</v>
      </c>
      <c r="H143" s="47" t="s">
        <v>37</v>
      </c>
      <c r="I143" s="47" t="s">
        <v>39</v>
      </c>
      <c r="J143" s="47" t="s">
        <v>92</v>
      </c>
      <c r="K143" s="58" t="s">
        <v>91</v>
      </c>
      <c r="L143" s="47" t="s">
        <v>51</v>
      </c>
      <c r="M143" s="47" t="s">
        <v>37</v>
      </c>
      <c r="N143" s="47" t="s">
        <v>39</v>
      </c>
      <c r="O143" s="47" t="s">
        <v>92</v>
      </c>
      <c r="P143" s="58" t="s">
        <v>91</v>
      </c>
      <c r="Q143" s="47" t="s">
        <v>51</v>
      </c>
      <c r="R143" s="47" t="s">
        <v>37</v>
      </c>
      <c r="S143" s="47" t="s">
        <v>39</v>
      </c>
      <c r="T143" s="47" t="s">
        <v>92</v>
      </c>
      <c r="U143" s="58" t="s">
        <v>91</v>
      </c>
    </row>
    <row r="144" spans="1:21" x14ac:dyDescent="0.25">
      <c r="A144" s="91" t="s">
        <v>56</v>
      </c>
      <c r="B144" s="47">
        <f>B16</f>
        <v>0.5</v>
      </c>
      <c r="C144" s="47">
        <f t="shared" ref="C144:F144" si="42">C16</f>
        <v>2.1049999999999995</v>
      </c>
      <c r="D144" s="47">
        <f t="shared" si="42"/>
        <v>2.7364999999999995</v>
      </c>
      <c r="E144" s="47">
        <f t="shared" si="42"/>
        <v>4.2364999999999995</v>
      </c>
      <c r="F144" s="47">
        <f t="shared" si="42"/>
        <v>2.4049999999999994</v>
      </c>
      <c r="G144" s="43">
        <f>G16</f>
        <v>0.5</v>
      </c>
      <c r="H144" s="43">
        <f t="shared" ref="H144:P144" si="43">H16</f>
        <v>2.5777999999999999</v>
      </c>
      <c r="I144" s="43">
        <f t="shared" si="43"/>
        <v>3.4711399999999997</v>
      </c>
      <c r="J144" s="43">
        <f t="shared" si="43"/>
        <v>4.9711400000000001</v>
      </c>
      <c r="K144" s="43">
        <f t="shared" si="43"/>
        <v>2.8777999999999997</v>
      </c>
      <c r="L144" s="43">
        <f t="shared" si="43"/>
        <v>0.5</v>
      </c>
      <c r="M144" s="43">
        <f t="shared" si="43"/>
        <v>2.5777999999999999</v>
      </c>
      <c r="N144" s="43">
        <f t="shared" si="43"/>
        <v>3.4711399999999997</v>
      </c>
      <c r="O144" s="43">
        <f t="shared" si="43"/>
        <v>4.9711400000000001</v>
      </c>
      <c r="P144" s="43">
        <f t="shared" si="43"/>
        <v>2.8777999999999997</v>
      </c>
      <c r="Q144" s="43">
        <f>L144</f>
        <v>0.5</v>
      </c>
      <c r="R144" s="43">
        <f>M144</f>
        <v>2.5777999999999999</v>
      </c>
      <c r="S144" s="43">
        <f>N144</f>
        <v>3.4711399999999997</v>
      </c>
      <c r="T144" s="43">
        <f>O144</f>
        <v>4.9711400000000001</v>
      </c>
      <c r="U144" s="43">
        <f>P144</f>
        <v>2.8777999999999997</v>
      </c>
    </row>
    <row r="145" spans="1:21" x14ac:dyDescent="0.25">
      <c r="A145" s="170" t="s">
        <v>340</v>
      </c>
      <c r="B145" s="47"/>
      <c r="C145" s="47"/>
      <c r="D145" s="47"/>
      <c r="E145" s="47"/>
      <c r="F145" s="46"/>
      <c r="K145" s="46"/>
      <c r="P145" s="46"/>
      <c r="U145" s="46"/>
    </row>
    <row r="146" spans="1:21" x14ac:dyDescent="0.25">
      <c r="A146" s="91" t="s">
        <v>77</v>
      </c>
      <c r="B146" s="47"/>
      <c r="C146" s="47"/>
      <c r="D146" s="47"/>
      <c r="E146" s="47"/>
      <c r="F146" s="46"/>
      <c r="K146" s="46"/>
      <c r="P146" s="46"/>
      <c r="U146" s="46"/>
    </row>
    <row r="147" spans="1:21" x14ac:dyDescent="0.25">
      <c r="A147" s="91" t="s">
        <v>78</v>
      </c>
      <c r="B147" s="47"/>
      <c r="C147" s="47"/>
      <c r="D147" s="47"/>
      <c r="E147" s="47"/>
      <c r="F147" s="46"/>
      <c r="K147" s="46"/>
      <c r="P147" s="46"/>
      <c r="U147" s="46"/>
    </row>
    <row r="148" spans="1:21" x14ac:dyDescent="0.25">
      <c r="A148" s="91" t="s">
        <v>79</v>
      </c>
      <c r="B148" s="43">
        <f>G148</f>
        <v>1</v>
      </c>
      <c r="C148" s="43">
        <f t="shared" ref="C148:F148" si="44">H148</f>
        <v>1.7100000000000002</v>
      </c>
      <c r="D148" s="43">
        <f t="shared" si="44"/>
        <v>2.2230000000000003</v>
      </c>
      <c r="E148" s="43">
        <f t="shared" si="44"/>
        <v>2.2230000000000003</v>
      </c>
      <c r="F148" s="43">
        <f t="shared" si="44"/>
        <v>1.7100000000000002</v>
      </c>
      <c r="G148" s="47">
        <v>1</v>
      </c>
      <c r="H148" s="47">
        <f>G148*'analisi dei carichi'!E31</f>
        <v>1.7100000000000002</v>
      </c>
      <c r="I148" s="47">
        <f>G148*'analisi dei carichi'!H31</f>
        <v>2.2230000000000003</v>
      </c>
      <c r="J148" s="47">
        <f>G148*'analisi dei carichi'!K31</f>
        <v>2.2230000000000003</v>
      </c>
      <c r="K148" s="46">
        <f>G148*'analisi dei carichi'!N31</f>
        <v>1.7100000000000002</v>
      </c>
      <c r="L148" s="43">
        <f t="shared" ref="L148:U148" si="45">G148</f>
        <v>1</v>
      </c>
      <c r="M148" s="43">
        <f t="shared" si="45"/>
        <v>1.7100000000000002</v>
      </c>
      <c r="N148" s="43">
        <f t="shared" si="45"/>
        <v>2.2230000000000003</v>
      </c>
      <c r="O148" s="43">
        <f t="shared" si="45"/>
        <v>2.2230000000000003</v>
      </c>
      <c r="P148" s="43">
        <f t="shared" si="45"/>
        <v>1.7100000000000002</v>
      </c>
      <c r="Q148" s="43">
        <f t="shared" si="45"/>
        <v>1</v>
      </c>
      <c r="R148" s="43">
        <f t="shared" si="45"/>
        <v>1.7100000000000002</v>
      </c>
      <c r="S148" s="43">
        <f t="shared" si="45"/>
        <v>2.2230000000000003</v>
      </c>
      <c r="T148" s="43">
        <f t="shared" si="45"/>
        <v>2.2230000000000003</v>
      </c>
      <c r="U148" s="43">
        <f t="shared" si="45"/>
        <v>1.7100000000000002</v>
      </c>
    </row>
    <row r="149" spans="1:21" x14ac:dyDescent="0.25">
      <c r="A149" s="91" t="s">
        <v>80</v>
      </c>
      <c r="B149" s="48"/>
      <c r="C149" s="48"/>
      <c r="D149" s="48"/>
      <c r="E149" s="48"/>
      <c r="F149" s="49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</row>
    <row r="150" spans="1:21" x14ac:dyDescent="0.25">
      <c r="A150" s="91" t="s">
        <v>55</v>
      </c>
      <c r="C150" s="43">
        <f t="shared" ref="C150:F150" si="46">SUM(C144:C149)</f>
        <v>3.8149999999999995</v>
      </c>
      <c r="D150" s="43">
        <f t="shared" si="46"/>
        <v>4.9595000000000002</v>
      </c>
      <c r="E150" s="43">
        <f t="shared" si="46"/>
        <v>6.4595000000000002</v>
      </c>
      <c r="F150" s="43">
        <f t="shared" si="46"/>
        <v>4.1149999999999993</v>
      </c>
      <c r="H150" s="43">
        <f t="shared" ref="H150:U150" si="47">SUM(H144:H149)</f>
        <v>4.2877999999999998</v>
      </c>
      <c r="I150" s="43">
        <f t="shared" si="47"/>
        <v>5.69414</v>
      </c>
      <c r="J150" s="43">
        <f t="shared" si="47"/>
        <v>7.1941400000000009</v>
      </c>
      <c r="K150" s="43">
        <f t="shared" si="47"/>
        <v>4.5877999999999997</v>
      </c>
      <c r="M150" s="43">
        <f t="shared" si="47"/>
        <v>4.2877999999999998</v>
      </c>
      <c r="N150" s="43">
        <f t="shared" si="47"/>
        <v>5.69414</v>
      </c>
      <c r="O150" s="43">
        <f t="shared" si="47"/>
        <v>7.1941400000000009</v>
      </c>
      <c r="P150" s="43">
        <f t="shared" si="47"/>
        <v>4.5877999999999997</v>
      </c>
      <c r="R150" s="43">
        <f t="shared" si="47"/>
        <v>4.2877999999999998</v>
      </c>
      <c r="S150" s="43">
        <f t="shared" si="47"/>
        <v>5.69414</v>
      </c>
      <c r="T150" s="43">
        <f t="shared" si="47"/>
        <v>7.1941400000000009</v>
      </c>
      <c r="U150" s="43">
        <f t="shared" si="47"/>
        <v>4.5877999999999997</v>
      </c>
    </row>
    <row r="152" spans="1:21" x14ac:dyDescent="0.25">
      <c r="C152" s="55" t="s">
        <v>120</v>
      </c>
      <c r="D152" s="62" t="s">
        <v>121</v>
      </c>
    </row>
    <row r="153" spans="1:21" x14ac:dyDescent="0.25">
      <c r="B153" s="57" t="s">
        <v>76</v>
      </c>
      <c r="C153" s="43" t="s">
        <v>93</v>
      </c>
      <c r="H153" s="43" t="s">
        <v>93</v>
      </c>
      <c r="L153" s="43" t="s">
        <v>93</v>
      </c>
      <c r="Q153" s="43" t="s">
        <v>93</v>
      </c>
    </row>
    <row r="154" spans="1:21" x14ac:dyDescent="0.25">
      <c r="B154" s="62" t="s">
        <v>122</v>
      </c>
      <c r="C154" s="44">
        <v>6</v>
      </c>
      <c r="H154" s="43" t="s">
        <v>95</v>
      </c>
      <c r="L154" s="43" t="s">
        <v>96</v>
      </c>
      <c r="Q154" s="44">
        <v>1</v>
      </c>
    </row>
    <row r="155" spans="1:21" x14ac:dyDescent="0.25">
      <c r="B155" s="47" t="s">
        <v>51</v>
      </c>
      <c r="C155" s="47" t="s">
        <v>37</v>
      </c>
      <c r="D155" s="47" t="s">
        <v>39</v>
      </c>
      <c r="E155" s="47" t="s">
        <v>92</v>
      </c>
      <c r="F155" s="58" t="s">
        <v>91</v>
      </c>
      <c r="G155" s="47" t="s">
        <v>51</v>
      </c>
      <c r="H155" s="47" t="s">
        <v>37</v>
      </c>
      <c r="I155" s="47" t="s">
        <v>39</v>
      </c>
      <c r="J155" s="47" t="s">
        <v>92</v>
      </c>
      <c r="K155" s="58" t="s">
        <v>91</v>
      </c>
      <c r="L155" s="47" t="s">
        <v>51</v>
      </c>
      <c r="M155" s="47" t="s">
        <v>37</v>
      </c>
      <c r="N155" s="47" t="s">
        <v>39</v>
      </c>
      <c r="O155" s="47" t="s">
        <v>92</v>
      </c>
      <c r="P155" s="58" t="s">
        <v>91</v>
      </c>
      <c r="Q155" s="47" t="s">
        <v>51</v>
      </c>
      <c r="R155" s="47" t="s">
        <v>37</v>
      </c>
      <c r="S155" s="47" t="s">
        <v>39</v>
      </c>
      <c r="T155" s="47" t="s">
        <v>92</v>
      </c>
      <c r="U155" s="58" t="s">
        <v>91</v>
      </c>
    </row>
    <row r="156" spans="1:21" x14ac:dyDescent="0.25">
      <c r="A156" s="91" t="s">
        <v>56</v>
      </c>
      <c r="B156" s="43">
        <f>5.46/2</f>
        <v>2.73</v>
      </c>
      <c r="C156" s="43">
        <f>B156*'analisi dei carichi'!E35</f>
        <v>11.493299999999998</v>
      </c>
      <c r="D156" s="43">
        <f>B156*'analisi dei carichi'!H35</f>
        <v>14.941289999999997</v>
      </c>
      <c r="E156" s="43">
        <f>'analisi dei carichi'!K35*B156</f>
        <v>23.131289999999996</v>
      </c>
      <c r="F156" s="46">
        <f>B156*'analisi dei carichi'!N35</f>
        <v>13.131299999999996</v>
      </c>
      <c r="G156" s="43">
        <f>B156</f>
        <v>2.73</v>
      </c>
      <c r="H156" s="43">
        <f>G156*'analisi dei carichi'!O28</f>
        <v>14.074788</v>
      </c>
      <c r="I156" s="43">
        <f>G156*'analisi dei carichi'!P28</f>
        <v>18.952424399999998</v>
      </c>
      <c r="J156" s="43">
        <f>G156*'analisi dei carichi'!K28</f>
        <v>27.142424399999999</v>
      </c>
      <c r="K156" s="46">
        <f>G156*'analisi dei carichi'!N28</f>
        <v>15.712787999999998</v>
      </c>
      <c r="L156" s="43">
        <f>G156</f>
        <v>2.73</v>
      </c>
      <c r="M156" s="43">
        <f t="shared" ref="M156:U156" si="48">H156</f>
        <v>14.074788</v>
      </c>
      <c r="N156" s="43">
        <f t="shared" si="48"/>
        <v>18.952424399999998</v>
      </c>
      <c r="O156" s="43">
        <f t="shared" si="48"/>
        <v>27.142424399999999</v>
      </c>
      <c r="P156" s="46">
        <f t="shared" si="48"/>
        <v>15.712787999999998</v>
      </c>
      <c r="Q156" s="43">
        <f t="shared" si="48"/>
        <v>2.73</v>
      </c>
      <c r="R156" s="43">
        <f t="shared" si="48"/>
        <v>14.074788</v>
      </c>
      <c r="S156" s="43">
        <f t="shared" si="48"/>
        <v>18.952424399999998</v>
      </c>
      <c r="T156" s="43">
        <f t="shared" si="48"/>
        <v>27.142424399999999</v>
      </c>
      <c r="U156" s="46">
        <f t="shared" si="48"/>
        <v>15.712787999999998</v>
      </c>
    </row>
    <row r="157" spans="1:21" x14ac:dyDescent="0.25">
      <c r="A157" s="170" t="s">
        <v>340</v>
      </c>
      <c r="B157" s="43">
        <f>0.5</f>
        <v>0.5</v>
      </c>
      <c r="C157" s="43">
        <f>B157*'analisi dei carichi'!E38</f>
        <v>1.95</v>
      </c>
      <c r="D157" s="43">
        <f>B157*'analisi dei carichi'!H38</f>
        <v>2.5350000000000001</v>
      </c>
      <c r="E157" s="43">
        <f>B157*'analisi dei carichi'!K38</f>
        <v>2.91</v>
      </c>
      <c r="F157" s="46">
        <f>B157*'analisi dei carichi'!N38</f>
        <v>1.95</v>
      </c>
      <c r="K157" s="46"/>
      <c r="P157" s="46"/>
      <c r="U157" s="46"/>
    </row>
    <row r="158" spans="1:21" x14ac:dyDescent="0.25">
      <c r="A158" s="91" t="s">
        <v>77</v>
      </c>
      <c r="F158" s="46"/>
      <c r="K158" s="46"/>
      <c r="P158" s="46"/>
      <c r="U158" s="46"/>
    </row>
    <row r="159" spans="1:21" x14ac:dyDescent="0.25">
      <c r="A159" s="91" t="s">
        <v>78</v>
      </c>
      <c r="B159" s="43">
        <f>B135</f>
        <v>1</v>
      </c>
      <c r="C159" s="43">
        <f t="shared" ref="C159:K159" si="49">C135</f>
        <v>2.9550000000000001</v>
      </c>
      <c r="D159" s="43">
        <f t="shared" si="49"/>
        <v>3.8415000000000004</v>
      </c>
      <c r="E159" s="43">
        <f t="shared" si="49"/>
        <v>3.8415000000000004</v>
      </c>
      <c r="F159" s="46">
        <f t="shared" si="49"/>
        <v>2.9550000000000001</v>
      </c>
      <c r="G159" s="43">
        <f t="shared" si="49"/>
        <v>1</v>
      </c>
      <c r="H159" s="43">
        <f t="shared" si="49"/>
        <v>2.9550000000000001</v>
      </c>
      <c r="I159" s="43">
        <f t="shared" si="49"/>
        <v>3.8415000000000004</v>
      </c>
      <c r="J159" s="43">
        <f t="shared" si="49"/>
        <v>3.8415000000000004</v>
      </c>
      <c r="K159" s="46">
        <f t="shared" si="49"/>
        <v>2.9550000000000001</v>
      </c>
      <c r="L159" s="43">
        <v>1</v>
      </c>
      <c r="M159" s="43">
        <f>L159*'analisi dei carichi'!E30</f>
        <v>3.7050000000000001</v>
      </c>
      <c r="N159" s="43">
        <f>L159*'analisi dei carichi'!H30</f>
        <v>4.8165000000000004</v>
      </c>
      <c r="O159" s="43">
        <f>L159*'analisi dei carichi'!K30</f>
        <v>4.8165000000000004</v>
      </c>
      <c r="P159" s="46">
        <f>L159*'analisi dei carichi'!N30</f>
        <v>3.7050000000000001</v>
      </c>
      <c r="Q159" s="43">
        <f>L159</f>
        <v>1</v>
      </c>
      <c r="R159" s="43">
        <f>M159</f>
        <v>3.7050000000000001</v>
      </c>
      <c r="S159" s="43">
        <f>N159</f>
        <v>4.8165000000000004</v>
      </c>
      <c r="T159" s="43">
        <f>O159</f>
        <v>4.8165000000000004</v>
      </c>
      <c r="U159" s="46">
        <f>P159</f>
        <v>3.7050000000000001</v>
      </c>
    </row>
    <row r="160" spans="1:21" x14ac:dyDescent="0.25">
      <c r="A160" s="91" t="s">
        <v>79</v>
      </c>
      <c r="F160" s="46"/>
      <c r="K160" s="46"/>
      <c r="P160" s="46"/>
      <c r="U160" s="46"/>
    </row>
    <row r="161" spans="1:23" x14ac:dyDescent="0.25">
      <c r="A161" s="91" t="s">
        <v>80</v>
      </c>
      <c r="B161" s="48"/>
      <c r="C161" s="48"/>
      <c r="D161" s="48"/>
      <c r="E161" s="48"/>
      <c r="F161" s="49"/>
      <c r="G161" s="48">
        <v>1</v>
      </c>
      <c r="H161" s="48">
        <f>G161*'analisi dei carichi'!E29</f>
        <v>5.7200000000000006</v>
      </c>
      <c r="I161" s="48">
        <f>G161*'analisi dei carichi'!H29</f>
        <v>7.4360000000000008</v>
      </c>
      <c r="J161" s="48">
        <f>G161*'analisi dei carichi'!K29</f>
        <v>7.4360000000000008</v>
      </c>
      <c r="K161" s="49">
        <f>G161*'analisi dei carichi'!N29</f>
        <v>5.7200000000000006</v>
      </c>
      <c r="L161" s="48">
        <f>G161</f>
        <v>1</v>
      </c>
      <c r="M161" s="48">
        <f t="shared" ref="M161:U161" si="50">H161</f>
        <v>5.7200000000000006</v>
      </c>
      <c r="N161" s="48">
        <f t="shared" si="50"/>
        <v>7.4360000000000008</v>
      </c>
      <c r="O161" s="48">
        <f t="shared" si="50"/>
        <v>7.4360000000000008</v>
      </c>
      <c r="P161" s="49">
        <f t="shared" si="50"/>
        <v>5.7200000000000006</v>
      </c>
      <c r="Q161" s="48">
        <f t="shared" si="50"/>
        <v>1</v>
      </c>
      <c r="R161" s="48">
        <f t="shared" si="50"/>
        <v>5.7200000000000006</v>
      </c>
      <c r="S161" s="48">
        <f t="shared" si="50"/>
        <v>7.4360000000000008</v>
      </c>
      <c r="T161" s="48">
        <f t="shared" si="50"/>
        <v>7.4360000000000008</v>
      </c>
      <c r="U161" s="49">
        <f t="shared" si="50"/>
        <v>5.7200000000000006</v>
      </c>
      <c r="W161" s="90"/>
    </row>
    <row r="162" spans="1:23" x14ac:dyDescent="0.25">
      <c r="A162" s="91" t="s">
        <v>55</v>
      </c>
      <c r="C162" s="43">
        <f>SUM(C156:C161)</f>
        <v>16.398299999999999</v>
      </c>
      <c r="D162" s="43">
        <f>SUM(D156:D161)</f>
        <v>21.317789999999999</v>
      </c>
      <c r="E162" s="43">
        <f>SUM(E156:E161)</f>
        <v>29.882789999999996</v>
      </c>
      <c r="F162" s="43">
        <f>SUM(F156:F161)</f>
        <v>18.036299999999997</v>
      </c>
      <c r="H162" s="43">
        <f>SUM(H156:H161)</f>
        <v>22.749788000000002</v>
      </c>
      <c r="I162" s="43">
        <f t="shared" ref="I162:U162" si="51">SUM(I156:I161)</f>
        <v>30.229924399999998</v>
      </c>
      <c r="J162" s="43">
        <f t="shared" si="51"/>
        <v>38.419924399999999</v>
      </c>
      <c r="K162" s="43">
        <f t="shared" si="51"/>
        <v>24.387788</v>
      </c>
      <c r="M162" s="43">
        <f t="shared" si="51"/>
        <v>23.499788000000002</v>
      </c>
      <c r="N162" s="43">
        <f t="shared" si="51"/>
        <v>31.204924399999999</v>
      </c>
      <c r="O162" s="43">
        <f t="shared" si="51"/>
        <v>39.394924400000001</v>
      </c>
      <c r="P162" s="43">
        <f t="shared" si="51"/>
        <v>25.137788</v>
      </c>
      <c r="R162" s="43">
        <f t="shared" si="51"/>
        <v>23.499788000000002</v>
      </c>
      <c r="S162" s="43">
        <f t="shared" si="51"/>
        <v>31.204924399999999</v>
      </c>
      <c r="T162" s="43">
        <f t="shared" si="51"/>
        <v>39.394924400000001</v>
      </c>
      <c r="U162" s="43">
        <f t="shared" si="51"/>
        <v>25.137788</v>
      </c>
    </row>
    <row r="164" spans="1:23" x14ac:dyDescent="0.25">
      <c r="B164" s="57" t="s">
        <v>76</v>
      </c>
      <c r="C164" s="43" t="s">
        <v>93</v>
      </c>
      <c r="H164" s="43" t="s">
        <v>93</v>
      </c>
      <c r="L164" s="43" t="s">
        <v>93</v>
      </c>
      <c r="Q164" s="43" t="s">
        <v>93</v>
      </c>
    </row>
    <row r="165" spans="1:23" x14ac:dyDescent="0.25">
      <c r="B165" s="62" t="s">
        <v>123</v>
      </c>
      <c r="C165" s="44">
        <v>6</v>
      </c>
      <c r="H165" s="43" t="s">
        <v>95</v>
      </c>
      <c r="L165" s="43" t="s">
        <v>96</v>
      </c>
      <c r="Q165" s="44">
        <v>1</v>
      </c>
    </row>
    <row r="166" spans="1:23" x14ac:dyDescent="0.25">
      <c r="B166" s="47" t="s">
        <v>51</v>
      </c>
      <c r="C166" s="47" t="s">
        <v>37</v>
      </c>
      <c r="D166" s="47" t="s">
        <v>39</v>
      </c>
      <c r="E166" s="47" t="s">
        <v>92</v>
      </c>
      <c r="F166" s="58" t="s">
        <v>91</v>
      </c>
      <c r="G166" s="47" t="s">
        <v>51</v>
      </c>
      <c r="H166" s="47" t="s">
        <v>37</v>
      </c>
      <c r="I166" s="47" t="s">
        <v>39</v>
      </c>
      <c r="J166" s="47" t="s">
        <v>92</v>
      </c>
      <c r="K166" s="58" t="s">
        <v>91</v>
      </c>
      <c r="L166" s="47" t="s">
        <v>51</v>
      </c>
      <c r="M166" s="47" t="s">
        <v>37</v>
      </c>
      <c r="N166" s="47" t="s">
        <v>39</v>
      </c>
      <c r="O166" s="47" t="s">
        <v>92</v>
      </c>
      <c r="P166" s="58" t="s">
        <v>91</v>
      </c>
      <c r="Q166" s="47" t="s">
        <v>51</v>
      </c>
      <c r="R166" s="47" t="s">
        <v>37</v>
      </c>
      <c r="S166" s="47" t="s">
        <v>39</v>
      </c>
      <c r="T166" s="47" t="s">
        <v>92</v>
      </c>
      <c r="U166" s="58" t="s">
        <v>91</v>
      </c>
    </row>
    <row r="167" spans="1:23" x14ac:dyDescent="0.25">
      <c r="A167" s="91" t="s">
        <v>56</v>
      </c>
      <c r="B167" s="43">
        <f>3.75/2</f>
        <v>1.875</v>
      </c>
      <c r="C167" s="43">
        <f>B167*'analisi dei carichi'!E35</f>
        <v>7.893749999999998</v>
      </c>
      <c r="D167" s="43">
        <f>B167*'analisi dei carichi'!H35</f>
        <v>10.261874999999998</v>
      </c>
      <c r="E167" s="43">
        <f>B167*'analisi dei carichi'!K35</f>
        <v>15.886874999999998</v>
      </c>
      <c r="F167" s="46">
        <f>B167*'analisi dei carichi'!N35</f>
        <v>9.0187499999999972</v>
      </c>
      <c r="G167" s="43">
        <f>B167</f>
        <v>1.875</v>
      </c>
      <c r="H167" s="43">
        <f>G167*'analisi dei carichi'!O28</f>
        <v>9.6667500000000004</v>
      </c>
      <c r="I167" s="43">
        <f>G167*'analisi dei carichi'!P28</f>
        <v>13.016774999999999</v>
      </c>
      <c r="J167" s="43">
        <f>G167*'analisi dei carichi'!K28</f>
        <v>18.641774999999999</v>
      </c>
      <c r="K167" s="46">
        <f>G167*'analisi dei carichi'!N28</f>
        <v>10.791749999999999</v>
      </c>
      <c r="L167" s="43">
        <f>G167</f>
        <v>1.875</v>
      </c>
      <c r="M167" s="43">
        <f t="shared" ref="M167:U167" si="52">H167</f>
        <v>9.6667500000000004</v>
      </c>
      <c r="N167" s="43">
        <f t="shared" si="52"/>
        <v>13.016774999999999</v>
      </c>
      <c r="O167" s="43">
        <f t="shared" si="52"/>
        <v>18.641774999999999</v>
      </c>
      <c r="P167" s="43">
        <f t="shared" si="52"/>
        <v>10.791749999999999</v>
      </c>
      <c r="Q167" s="43">
        <f t="shared" si="52"/>
        <v>1.875</v>
      </c>
      <c r="R167" s="43">
        <f t="shared" si="52"/>
        <v>9.6667500000000004</v>
      </c>
      <c r="S167" s="43">
        <f t="shared" si="52"/>
        <v>13.016774999999999</v>
      </c>
      <c r="T167" s="43">
        <f t="shared" si="52"/>
        <v>18.641774999999999</v>
      </c>
      <c r="U167" s="43">
        <f t="shared" si="52"/>
        <v>10.791749999999999</v>
      </c>
    </row>
    <row r="168" spans="1:23" x14ac:dyDescent="0.25">
      <c r="A168" s="170" t="s">
        <v>340</v>
      </c>
      <c r="B168" s="43">
        <f>B157</f>
        <v>0.5</v>
      </c>
      <c r="C168" s="43">
        <f>C157</f>
        <v>1.95</v>
      </c>
      <c r="D168" s="43">
        <f>D157</f>
        <v>2.5350000000000001</v>
      </c>
      <c r="E168" s="43">
        <f>E157</f>
        <v>2.91</v>
      </c>
      <c r="F168" s="46">
        <f>F157</f>
        <v>1.95</v>
      </c>
      <c r="K168" s="46"/>
      <c r="P168" s="46"/>
      <c r="U168" s="46"/>
    </row>
    <row r="169" spans="1:23" x14ac:dyDescent="0.25">
      <c r="A169" s="91" t="s">
        <v>77</v>
      </c>
      <c r="F169" s="46"/>
      <c r="K169" s="46"/>
      <c r="P169" s="46"/>
      <c r="U169" s="46"/>
    </row>
    <row r="170" spans="1:23" x14ac:dyDescent="0.25">
      <c r="A170" s="91" t="s">
        <v>78</v>
      </c>
      <c r="B170" s="43">
        <f>B159</f>
        <v>1</v>
      </c>
      <c r="C170" s="43">
        <f>C159</f>
        <v>2.9550000000000001</v>
      </c>
      <c r="D170" s="43">
        <f>D159</f>
        <v>3.8415000000000004</v>
      </c>
      <c r="E170" s="43">
        <f>E159</f>
        <v>3.8415000000000004</v>
      </c>
      <c r="F170" s="46">
        <f>F159</f>
        <v>2.9550000000000001</v>
      </c>
      <c r="G170" s="43">
        <f>B170</f>
        <v>1</v>
      </c>
      <c r="H170" s="43">
        <f>C170</f>
        <v>2.9550000000000001</v>
      </c>
      <c r="I170" s="43">
        <f>D170</f>
        <v>3.8415000000000004</v>
      </c>
      <c r="J170" s="43">
        <f>E170</f>
        <v>3.8415000000000004</v>
      </c>
      <c r="K170" s="43">
        <f>F170</f>
        <v>2.9550000000000001</v>
      </c>
      <c r="L170" s="43">
        <v>1</v>
      </c>
      <c r="M170" s="43">
        <f>L170*'analisi dei carichi'!E30</f>
        <v>3.7050000000000001</v>
      </c>
      <c r="N170" s="43">
        <f>L170*'analisi dei carichi'!H30</f>
        <v>4.8165000000000004</v>
      </c>
      <c r="O170" s="43">
        <f>L170*'analisi dei carichi'!K30</f>
        <v>4.8165000000000004</v>
      </c>
      <c r="P170" s="46">
        <f>L170*'analisi dei carichi'!N30</f>
        <v>3.7050000000000001</v>
      </c>
      <c r="Q170" s="43">
        <f>L170</f>
        <v>1</v>
      </c>
      <c r="R170" s="43">
        <f>M170</f>
        <v>3.7050000000000001</v>
      </c>
      <c r="S170" s="43">
        <f>N170</f>
        <v>4.8165000000000004</v>
      </c>
      <c r="T170" s="43">
        <f>O170</f>
        <v>4.8165000000000004</v>
      </c>
      <c r="U170" s="43">
        <f>P170</f>
        <v>3.7050000000000001</v>
      </c>
    </row>
    <row r="171" spans="1:23" x14ac:dyDescent="0.25">
      <c r="A171" s="91" t="s">
        <v>79</v>
      </c>
      <c r="F171" s="46"/>
      <c r="K171" s="46"/>
      <c r="P171" s="46"/>
      <c r="U171" s="46"/>
    </row>
    <row r="172" spans="1:23" x14ac:dyDescent="0.25">
      <c r="A172" s="91" t="s">
        <v>80</v>
      </c>
      <c r="B172" s="48"/>
      <c r="C172" s="48"/>
      <c r="D172" s="48"/>
      <c r="E172" s="48"/>
      <c r="F172" s="49"/>
      <c r="G172" s="48">
        <f>G161</f>
        <v>1</v>
      </c>
      <c r="H172" s="48">
        <f t="shared" ref="H172:U172" si="53">H161</f>
        <v>5.7200000000000006</v>
      </c>
      <c r="I172" s="48">
        <f t="shared" si="53"/>
        <v>7.4360000000000008</v>
      </c>
      <c r="J172" s="48">
        <f t="shared" si="53"/>
        <v>7.4360000000000008</v>
      </c>
      <c r="K172" s="48">
        <f t="shared" si="53"/>
        <v>5.7200000000000006</v>
      </c>
      <c r="L172" s="48">
        <f t="shared" si="53"/>
        <v>1</v>
      </c>
      <c r="M172" s="48">
        <f t="shared" si="53"/>
        <v>5.7200000000000006</v>
      </c>
      <c r="N172" s="48">
        <f t="shared" si="53"/>
        <v>7.4360000000000008</v>
      </c>
      <c r="O172" s="48">
        <f t="shared" si="53"/>
        <v>7.4360000000000008</v>
      </c>
      <c r="P172" s="48">
        <f t="shared" si="53"/>
        <v>5.7200000000000006</v>
      </c>
      <c r="Q172" s="48">
        <f t="shared" si="53"/>
        <v>1</v>
      </c>
      <c r="R172" s="48">
        <f t="shared" si="53"/>
        <v>5.7200000000000006</v>
      </c>
      <c r="S172" s="48">
        <f t="shared" si="53"/>
        <v>7.4360000000000008</v>
      </c>
      <c r="T172" s="48">
        <f t="shared" si="53"/>
        <v>7.4360000000000008</v>
      </c>
      <c r="U172" s="48">
        <f t="shared" si="53"/>
        <v>5.7200000000000006</v>
      </c>
    </row>
    <row r="173" spans="1:23" x14ac:dyDescent="0.25">
      <c r="A173" s="91" t="s">
        <v>55</v>
      </c>
      <c r="C173" s="43">
        <f>SUM(C167:C172)</f>
        <v>12.798749999999998</v>
      </c>
      <c r="D173" s="43">
        <f>SUM(D167:D172)</f>
        <v>16.638375</v>
      </c>
      <c r="E173" s="43">
        <f>SUM(E167:E172)</f>
        <v>22.638375</v>
      </c>
      <c r="F173" s="43">
        <f>SUM(F167:F172)</f>
        <v>13.923749999999997</v>
      </c>
      <c r="H173" s="43">
        <f>SUM(H167:H172)</f>
        <v>18.341750000000001</v>
      </c>
      <c r="I173" s="43">
        <f>SUM(I167:I172)</f>
        <v>24.294274999999999</v>
      </c>
      <c r="J173" s="43">
        <f>SUM(J167:J172)</f>
        <v>29.919274999999999</v>
      </c>
      <c r="K173" s="43">
        <f>SUM(K167:K172)</f>
        <v>19.466749999999998</v>
      </c>
      <c r="M173" s="43">
        <f>SUM(M167:M172)</f>
        <v>19.091750000000001</v>
      </c>
      <c r="N173" s="43">
        <f>SUM(N167:N172)</f>
        <v>25.269275</v>
      </c>
      <c r="O173" s="43">
        <f>SUM(O167:O172)</f>
        <v>30.894275</v>
      </c>
      <c r="P173" s="43">
        <f>SUM(P167:P172)</f>
        <v>20.216749999999998</v>
      </c>
      <c r="R173" s="43">
        <f>SUM(R167:R172)</f>
        <v>19.091750000000001</v>
      </c>
      <c r="S173" s="43">
        <f>SUM(S167:S172)</f>
        <v>25.269275</v>
      </c>
      <c r="T173" s="43">
        <f>SUM(T167:T172)</f>
        <v>30.894275</v>
      </c>
      <c r="U173" s="43">
        <f>SUM(U167:U172)</f>
        <v>20.216749999999998</v>
      </c>
    </row>
    <row r="175" spans="1:23" x14ac:dyDescent="0.25">
      <c r="C175" s="55" t="s">
        <v>124</v>
      </c>
      <c r="D175" s="62" t="s">
        <v>125</v>
      </c>
    </row>
    <row r="176" spans="1:23" x14ac:dyDescent="0.25">
      <c r="B176" s="57" t="s">
        <v>76</v>
      </c>
      <c r="C176" s="43" t="s">
        <v>93</v>
      </c>
      <c r="H176" s="43" t="s">
        <v>93</v>
      </c>
      <c r="L176" s="43" t="s">
        <v>93</v>
      </c>
      <c r="Q176" s="43" t="s">
        <v>93</v>
      </c>
    </row>
    <row r="177" spans="1:21" x14ac:dyDescent="0.25">
      <c r="B177" s="62" t="s">
        <v>126</v>
      </c>
      <c r="C177" s="44">
        <v>6</v>
      </c>
      <c r="H177" s="43" t="s">
        <v>95</v>
      </c>
      <c r="L177" s="43" t="s">
        <v>96</v>
      </c>
      <c r="Q177" s="44">
        <v>1</v>
      </c>
    </row>
    <row r="178" spans="1:21" x14ac:dyDescent="0.25">
      <c r="B178" s="47" t="s">
        <v>51</v>
      </c>
      <c r="C178" s="47" t="s">
        <v>37</v>
      </c>
      <c r="D178" s="47" t="s">
        <v>39</v>
      </c>
      <c r="E178" s="47" t="s">
        <v>92</v>
      </c>
      <c r="F178" s="58" t="s">
        <v>91</v>
      </c>
      <c r="G178" s="47" t="s">
        <v>51</v>
      </c>
      <c r="H178" s="47" t="s">
        <v>37</v>
      </c>
      <c r="I178" s="47" t="s">
        <v>39</v>
      </c>
      <c r="J178" s="47" t="s">
        <v>92</v>
      </c>
      <c r="K178" s="58" t="s">
        <v>91</v>
      </c>
      <c r="L178" s="47" t="s">
        <v>51</v>
      </c>
      <c r="M178" s="47" t="s">
        <v>37</v>
      </c>
      <c r="N178" s="47" t="s">
        <v>39</v>
      </c>
      <c r="O178" s="47" t="s">
        <v>92</v>
      </c>
      <c r="P178" s="58" t="s">
        <v>91</v>
      </c>
      <c r="Q178" s="47" t="s">
        <v>51</v>
      </c>
      <c r="R178" s="47" t="s">
        <v>37</v>
      </c>
      <c r="S178" s="47" t="s">
        <v>39</v>
      </c>
      <c r="T178" s="47" t="s">
        <v>92</v>
      </c>
      <c r="U178" s="58" t="s">
        <v>91</v>
      </c>
    </row>
    <row r="179" spans="1:21" x14ac:dyDescent="0.25">
      <c r="A179" s="91" t="s">
        <v>56</v>
      </c>
      <c r="B179" s="74">
        <f>4.85/2</f>
        <v>2.4249999999999998</v>
      </c>
      <c r="C179" s="43">
        <f>B179*'analisi dei carichi'!E35</f>
        <v>10.209249999999997</v>
      </c>
      <c r="D179" s="43">
        <f>B179*'analisi dei carichi'!H35</f>
        <v>13.272024999999996</v>
      </c>
      <c r="E179" s="43">
        <f>B179*'analisi dei carichi'!K35</f>
        <v>20.547024999999994</v>
      </c>
      <c r="F179" s="46">
        <f>B179*'analisi dei carichi'!N35</f>
        <v>11.664249999999996</v>
      </c>
      <c r="G179" s="43">
        <f>B179</f>
        <v>2.4249999999999998</v>
      </c>
      <c r="H179" s="43">
        <f>G179*'analisi dei carichi'!O28</f>
        <v>12.502329999999999</v>
      </c>
      <c r="I179" s="43">
        <f>G179*'analisi dei carichi'!P28</f>
        <v>16.835028999999999</v>
      </c>
      <c r="J179" s="43">
        <f>G179*'analisi dei carichi'!K28</f>
        <v>24.110028999999997</v>
      </c>
      <c r="K179" s="46">
        <f>G179*'analisi dei carichi'!N28</f>
        <v>13.957329999999997</v>
      </c>
      <c r="L179" s="43">
        <f>G179</f>
        <v>2.4249999999999998</v>
      </c>
      <c r="M179" s="43">
        <f t="shared" ref="M179:U179" si="54">H179</f>
        <v>12.502329999999999</v>
      </c>
      <c r="N179" s="43">
        <f t="shared" si="54"/>
        <v>16.835028999999999</v>
      </c>
      <c r="O179" s="43">
        <f t="shared" si="54"/>
        <v>24.110028999999997</v>
      </c>
      <c r="P179" s="43">
        <f t="shared" si="54"/>
        <v>13.957329999999997</v>
      </c>
      <c r="Q179" s="43">
        <f t="shared" si="54"/>
        <v>2.4249999999999998</v>
      </c>
      <c r="R179" s="43">
        <f t="shared" si="54"/>
        <v>12.502329999999999</v>
      </c>
      <c r="S179" s="43">
        <f t="shared" si="54"/>
        <v>16.835028999999999</v>
      </c>
      <c r="T179" s="43">
        <f t="shared" si="54"/>
        <v>24.110028999999997</v>
      </c>
      <c r="U179" s="43">
        <f t="shared" si="54"/>
        <v>13.957329999999997</v>
      </c>
    </row>
    <row r="180" spans="1:21" x14ac:dyDescent="0.25">
      <c r="A180" s="170" t="s">
        <v>340</v>
      </c>
      <c r="B180" s="43">
        <f>B168</f>
        <v>0.5</v>
      </c>
      <c r="C180" s="43">
        <f>C168</f>
        <v>1.95</v>
      </c>
      <c r="D180" s="43">
        <f>D168</f>
        <v>2.5350000000000001</v>
      </c>
      <c r="E180" s="43">
        <f>E168</f>
        <v>2.91</v>
      </c>
      <c r="F180" s="43">
        <f>F168</f>
        <v>1.95</v>
      </c>
      <c r="K180" s="46"/>
      <c r="P180" s="46"/>
      <c r="U180" s="46"/>
    </row>
    <row r="181" spans="1:21" x14ac:dyDescent="0.25">
      <c r="A181" s="91" t="s">
        <v>77</v>
      </c>
      <c r="F181" s="46"/>
      <c r="K181" s="46"/>
      <c r="P181" s="46"/>
      <c r="U181" s="46"/>
    </row>
    <row r="182" spans="1:21" x14ac:dyDescent="0.25">
      <c r="A182" s="91" t="s">
        <v>78</v>
      </c>
      <c r="F182" s="46"/>
      <c r="K182" s="46"/>
      <c r="P182" s="46"/>
      <c r="U182" s="46"/>
    </row>
    <row r="183" spans="1:21" x14ac:dyDescent="0.25">
      <c r="A183" s="91" t="s">
        <v>79</v>
      </c>
      <c r="B183" s="43">
        <v>1</v>
      </c>
      <c r="C183" s="43">
        <f>B183*'analisi dei carichi'!E31</f>
        <v>1.7100000000000002</v>
      </c>
      <c r="D183" s="43">
        <f>B183*'analisi dei carichi'!H31</f>
        <v>2.2230000000000003</v>
      </c>
      <c r="E183" s="43">
        <f>B183*'analisi dei carichi'!K31</f>
        <v>2.2230000000000003</v>
      </c>
      <c r="F183" s="46">
        <f>B183*'analisi dei carichi'!N31</f>
        <v>1.7100000000000002</v>
      </c>
      <c r="G183" s="43">
        <f>B183</f>
        <v>1</v>
      </c>
      <c r="H183" s="43">
        <f t="shared" ref="H183:U183" si="55">C183</f>
        <v>1.7100000000000002</v>
      </c>
      <c r="I183" s="43">
        <f t="shared" si="55"/>
        <v>2.2230000000000003</v>
      </c>
      <c r="J183" s="43">
        <f t="shared" si="55"/>
        <v>2.2230000000000003</v>
      </c>
      <c r="K183" s="43">
        <f t="shared" si="55"/>
        <v>1.7100000000000002</v>
      </c>
      <c r="L183" s="43">
        <f t="shared" si="55"/>
        <v>1</v>
      </c>
      <c r="M183" s="43">
        <f t="shared" si="55"/>
        <v>1.7100000000000002</v>
      </c>
      <c r="N183" s="43">
        <f t="shared" si="55"/>
        <v>2.2230000000000003</v>
      </c>
      <c r="O183" s="43">
        <f t="shared" si="55"/>
        <v>2.2230000000000003</v>
      </c>
      <c r="P183" s="43">
        <f t="shared" si="55"/>
        <v>1.7100000000000002</v>
      </c>
      <c r="Q183" s="43">
        <f t="shared" si="55"/>
        <v>1</v>
      </c>
      <c r="R183" s="43">
        <f t="shared" si="55"/>
        <v>1.7100000000000002</v>
      </c>
      <c r="S183" s="43">
        <f t="shared" si="55"/>
        <v>2.2230000000000003</v>
      </c>
      <c r="T183" s="43">
        <f t="shared" si="55"/>
        <v>2.2230000000000003</v>
      </c>
      <c r="U183" s="43">
        <f t="shared" si="55"/>
        <v>1.7100000000000002</v>
      </c>
    </row>
    <row r="184" spans="1:21" x14ac:dyDescent="0.25">
      <c r="A184" s="91" t="s">
        <v>80</v>
      </c>
      <c r="B184" s="48"/>
      <c r="C184" s="48"/>
      <c r="D184" s="48"/>
      <c r="E184" s="48"/>
      <c r="F184" s="49"/>
      <c r="G184" s="48">
        <f>G172</f>
        <v>1</v>
      </c>
      <c r="H184" s="48">
        <f t="shared" ref="H184:U184" si="56">H172</f>
        <v>5.7200000000000006</v>
      </c>
      <c r="I184" s="48">
        <f t="shared" si="56"/>
        <v>7.4360000000000008</v>
      </c>
      <c r="J184" s="48">
        <f t="shared" si="56"/>
        <v>7.4360000000000008</v>
      </c>
      <c r="K184" s="48">
        <f t="shared" si="56"/>
        <v>5.7200000000000006</v>
      </c>
      <c r="L184" s="48">
        <f t="shared" si="56"/>
        <v>1</v>
      </c>
      <c r="M184" s="48">
        <f t="shared" si="56"/>
        <v>5.7200000000000006</v>
      </c>
      <c r="N184" s="48">
        <f t="shared" si="56"/>
        <v>7.4360000000000008</v>
      </c>
      <c r="O184" s="48">
        <f t="shared" si="56"/>
        <v>7.4360000000000008</v>
      </c>
      <c r="P184" s="48">
        <f t="shared" si="56"/>
        <v>5.7200000000000006</v>
      </c>
      <c r="Q184" s="48">
        <f t="shared" si="56"/>
        <v>1</v>
      </c>
      <c r="R184" s="48">
        <f t="shared" si="56"/>
        <v>5.7200000000000006</v>
      </c>
      <c r="S184" s="48">
        <f t="shared" si="56"/>
        <v>7.4360000000000008</v>
      </c>
      <c r="T184" s="48">
        <f t="shared" si="56"/>
        <v>7.4360000000000008</v>
      </c>
      <c r="U184" s="48">
        <f t="shared" si="56"/>
        <v>5.7200000000000006</v>
      </c>
    </row>
    <row r="185" spans="1:21" x14ac:dyDescent="0.25">
      <c r="A185" s="91" t="s">
        <v>55</v>
      </c>
      <c r="C185" s="43">
        <f>SUM(C179:C184)</f>
        <v>13.869249999999997</v>
      </c>
      <c r="D185" s="43">
        <f>SUM(D179:D184)</f>
        <v>18.030024999999995</v>
      </c>
      <c r="E185" s="43">
        <f>SUM(E179:E184)</f>
        <v>25.680024999999993</v>
      </c>
      <c r="F185" s="43">
        <f>SUM(F179:F184)</f>
        <v>15.324249999999996</v>
      </c>
      <c r="H185" s="43">
        <f>SUM(H179:H184)</f>
        <v>19.93233</v>
      </c>
      <c r="I185" s="43">
        <f>SUM(I179:I184)</f>
        <v>26.494028999999998</v>
      </c>
      <c r="J185" s="43">
        <f>SUM(J179:J184)</f>
        <v>33.769028999999996</v>
      </c>
      <c r="K185" s="43">
        <f>SUM(K179:K184)</f>
        <v>21.387329999999999</v>
      </c>
      <c r="M185" s="43">
        <f>SUM(M179:M184)</f>
        <v>19.93233</v>
      </c>
      <c r="N185" s="43">
        <f t="shared" ref="N185:U185" si="57">SUM(N179:N184)</f>
        <v>26.494028999999998</v>
      </c>
      <c r="O185" s="43">
        <f t="shared" si="57"/>
        <v>33.769028999999996</v>
      </c>
      <c r="P185" s="43">
        <f t="shared" si="57"/>
        <v>21.387329999999999</v>
      </c>
      <c r="R185" s="43">
        <f t="shared" si="57"/>
        <v>19.93233</v>
      </c>
      <c r="S185" s="43">
        <f t="shared" si="57"/>
        <v>26.494028999999998</v>
      </c>
      <c r="T185" s="43">
        <f t="shared" si="57"/>
        <v>33.769028999999996</v>
      </c>
      <c r="U185" s="43">
        <f t="shared" si="57"/>
        <v>21.387329999999999</v>
      </c>
    </row>
    <row r="187" spans="1:21" x14ac:dyDescent="0.25">
      <c r="B187" s="57" t="s">
        <v>76</v>
      </c>
      <c r="C187" s="43" t="s">
        <v>93</v>
      </c>
      <c r="H187" s="43" t="s">
        <v>93</v>
      </c>
      <c r="L187" s="43" t="s">
        <v>93</v>
      </c>
      <c r="Q187" s="43" t="s">
        <v>93</v>
      </c>
    </row>
    <row r="188" spans="1:21" x14ac:dyDescent="0.25">
      <c r="B188" s="50" t="s">
        <v>127</v>
      </c>
      <c r="C188" s="44">
        <v>6</v>
      </c>
      <c r="H188" s="43" t="s">
        <v>95</v>
      </c>
      <c r="L188" s="43" t="s">
        <v>96</v>
      </c>
      <c r="Q188" s="44">
        <v>1</v>
      </c>
    </row>
    <row r="189" spans="1:21" x14ac:dyDescent="0.25">
      <c r="B189" s="47" t="s">
        <v>51</v>
      </c>
      <c r="C189" s="47" t="s">
        <v>37</v>
      </c>
      <c r="D189" s="47" t="s">
        <v>39</v>
      </c>
      <c r="E189" s="47" t="s">
        <v>92</v>
      </c>
      <c r="F189" s="58" t="s">
        <v>91</v>
      </c>
      <c r="G189" s="47" t="s">
        <v>51</v>
      </c>
      <c r="H189" s="47" t="s">
        <v>37</v>
      </c>
      <c r="I189" s="47" t="s">
        <v>39</v>
      </c>
      <c r="J189" s="47" t="s">
        <v>92</v>
      </c>
      <c r="K189" s="58" t="s">
        <v>91</v>
      </c>
      <c r="L189" s="47" t="s">
        <v>51</v>
      </c>
      <c r="M189" s="47" t="s">
        <v>37</v>
      </c>
      <c r="N189" s="47" t="s">
        <v>39</v>
      </c>
      <c r="O189" s="47" t="s">
        <v>92</v>
      </c>
      <c r="P189" s="58" t="s">
        <v>91</v>
      </c>
      <c r="Q189" s="47" t="s">
        <v>51</v>
      </c>
      <c r="R189" s="47" t="s">
        <v>37</v>
      </c>
      <c r="S189" s="47" t="s">
        <v>39</v>
      </c>
      <c r="T189" s="47" t="s">
        <v>92</v>
      </c>
      <c r="U189" s="58" t="s">
        <v>91</v>
      </c>
    </row>
    <row r="190" spans="1:21" x14ac:dyDescent="0.25">
      <c r="A190" s="91" t="s">
        <v>56</v>
      </c>
      <c r="B190" s="43">
        <f>((4.1/2)*1.2)+(4.85/2)</f>
        <v>4.8849999999999998</v>
      </c>
      <c r="C190" s="43">
        <f>B190*'analisi dei carichi'!E35</f>
        <v>20.565849999999994</v>
      </c>
      <c r="D190" s="43">
        <f>B190*'analisi dei carichi'!H35</f>
        <v>26.735604999999993</v>
      </c>
      <c r="E190" s="43">
        <f>B190*'analisi dei carichi'!K35</f>
        <v>41.390604999999994</v>
      </c>
      <c r="F190" s="46">
        <f>B190*'analisi dei carichi'!N35</f>
        <v>23.496849999999991</v>
      </c>
      <c r="G190" s="43">
        <f>B190</f>
        <v>4.8849999999999998</v>
      </c>
      <c r="H190" s="43">
        <f>'analisi dei carichi'!O28*G190</f>
        <v>25.185105999999998</v>
      </c>
      <c r="I190" s="43">
        <f>G190*'analisi dei carichi'!P28</f>
        <v>33.913037799999998</v>
      </c>
      <c r="J190" s="43">
        <f>G190*'analisi dei carichi'!K28</f>
        <v>48.568037799999999</v>
      </c>
      <c r="K190" s="46">
        <f>G190*'analisi dei carichi'!N28</f>
        <v>28.116105999999995</v>
      </c>
      <c r="L190" s="43">
        <f>G190</f>
        <v>4.8849999999999998</v>
      </c>
      <c r="M190" s="43">
        <f t="shared" ref="M190:U190" si="58">H190</f>
        <v>25.185105999999998</v>
      </c>
      <c r="N190" s="43">
        <f t="shared" si="58"/>
        <v>33.913037799999998</v>
      </c>
      <c r="O190" s="43">
        <f t="shared" si="58"/>
        <v>48.568037799999999</v>
      </c>
      <c r="P190" s="43">
        <f t="shared" si="58"/>
        <v>28.116105999999995</v>
      </c>
      <c r="Q190" s="43">
        <f t="shared" si="58"/>
        <v>4.8849999999999998</v>
      </c>
      <c r="R190" s="43">
        <f t="shared" si="58"/>
        <v>25.185105999999998</v>
      </c>
      <c r="S190" s="43">
        <f t="shared" si="58"/>
        <v>33.913037799999998</v>
      </c>
      <c r="T190" s="43">
        <f t="shared" si="58"/>
        <v>48.568037799999999</v>
      </c>
      <c r="U190" s="43">
        <f t="shared" si="58"/>
        <v>28.116105999999995</v>
      </c>
    </row>
    <row r="191" spans="1:21" x14ac:dyDescent="0.25">
      <c r="A191" s="170" t="s">
        <v>340</v>
      </c>
      <c r="F191" s="46"/>
      <c r="K191" s="46"/>
      <c r="P191" s="46"/>
      <c r="U191" s="46"/>
    </row>
    <row r="192" spans="1:21" x14ac:dyDescent="0.25">
      <c r="A192" s="91" t="s">
        <v>77</v>
      </c>
      <c r="F192" s="46"/>
      <c r="K192" s="46"/>
      <c r="P192" s="46"/>
      <c r="U192" s="46"/>
    </row>
    <row r="193" spans="1:95" x14ac:dyDescent="0.25">
      <c r="A193" s="91" t="s">
        <v>78</v>
      </c>
      <c r="B193" s="43">
        <v>1</v>
      </c>
      <c r="C193" s="43">
        <f>B193*'analisi dei carichi'!E37</f>
        <v>2.9550000000000001</v>
      </c>
      <c r="D193" s="43">
        <f>B193*'analisi dei carichi'!H37</f>
        <v>3.8415000000000004</v>
      </c>
      <c r="E193" s="43">
        <f>B193*'analisi dei carichi'!K37</f>
        <v>3.8415000000000004</v>
      </c>
      <c r="F193" s="46">
        <f>B193*'analisi dei carichi'!N37</f>
        <v>2.9550000000000001</v>
      </c>
      <c r="G193" s="43">
        <f>B193</f>
        <v>1</v>
      </c>
      <c r="H193" s="43">
        <f t="shared" ref="H193:K194" si="59">C193</f>
        <v>2.9550000000000001</v>
      </c>
      <c r="I193" s="43">
        <f t="shared" si="59"/>
        <v>3.8415000000000004</v>
      </c>
      <c r="J193" s="43">
        <f t="shared" si="59"/>
        <v>3.8415000000000004</v>
      </c>
      <c r="K193" s="43">
        <f t="shared" si="59"/>
        <v>2.9550000000000001</v>
      </c>
      <c r="L193" s="43">
        <f>G193</f>
        <v>1</v>
      </c>
      <c r="M193" s="43">
        <f>L193*'analisi dei carichi'!E30</f>
        <v>3.7050000000000001</v>
      </c>
      <c r="N193" s="43">
        <f>L193*'analisi dei carichi'!H30</f>
        <v>4.8165000000000004</v>
      </c>
      <c r="O193" s="43">
        <f>L193*'analisi dei carichi'!K30</f>
        <v>4.8165000000000004</v>
      </c>
      <c r="P193" s="46">
        <f>L193*'analisi dei carichi'!N30</f>
        <v>3.7050000000000001</v>
      </c>
      <c r="Q193" s="43">
        <f>L193</f>
        <v>1</v>
      </c>
      <c r="R193" s="43">
        <f t="shared" ref="R193:U194" si="60">M193</f>
        <v>3.7050000000000001</v>
      </c>
      <c r="S193" s="43">
        <f t="shared" si="60"/>
        <v>4.8165000000000004</v>
      </c>
      <c r="T193" s="43">
        <f t="shared" si="60"/>
        <v>4.8165000000000004</v>
      </c>
      <c r="U193" s="43">
        <f t="shared" si="60"/>
        <v>3.7050000000000001</v>
      </c>
    </row>
    <row r="194" spans="1:95" x14ac:dyDescent="0.25">
      <c r="A194" s="91" t="s">
        <v>79</v>
      </c>
      <c r="B194" s="53">
        <f>(4.7/2)/5.4</f>
        <v>0.43518518518518517</v>
      </c>
      <c r="C194" s="43">
        <f>B194*'analisi dei carichi'!E31</f>
        <v>0.74416666666666675</v>
      </c>
      <c r="D194" s="43">
        <f>B194*'analisi dei carichi'!H31</f>
        <v>0.96741666666666681</v>
      </c>
      <c r="E194" s="43">
        <f>B194*'analisi dei carichi'!K31</f>
        <v>0.96741666666666681</v>
      </c>
      <c r="F194" s="46">
        <f>B194*'analisi dei carichi'!N31</f>
        <v>0.74416666666666675</v>
      </c>
      <c r="G194" s="43">
        <f>B194</f>
        <v>0.43518518518518517</v>
      </c>
      <c r="H194" s="43">
        <f t="shared" si="59"/>
        <v>0.74416666666666675</v>
      </c>
      <c r="I194" s="43">
        <f t="shared" si="59"/>
        <v>0.96741666666666681</v>
      </c>
      <c r="J194" s="43">
        <f t="shared" si="59"/>
        <v>0.96741666666666681</v>
      </c>
      <c r="K194" s="43">
        <f t="shared" si="59"/>
        <v>0.74416666666666675</v>
      </c>
      <c r="L194" s="43">
        <f t="shared" ref="L194:Q194" si="61">G194</f>
        <v>0.43518518518518517</v>
      </c>
      <c r="M194" s="43">
        <f t="shared" si="61"/>
        <v>0.74416666666666675</v>
      </c>
      <c r="N194" s="43">
        <f t="shared" si="61"/>
        <v>0.96741666666666681</v>
      </c>
      <c r="O194" s="43">
        <f t="shared" si="61"/>
        <v>0.96741666666666681</v>
      </c>
      <c r="P194" s="43">
        <f t="shared" si="61"/>
        <v>0.74416666666666675</v>
      </c>
      <c r="Q194" s="43">
        <f t="shared" si="61"/>
        <v>0.43518518518518517</v>
      </c>
      <c r="R194" s="43">
        <f t="shared" si="60"/>
        <v>0.74416666666666675</v>
      </c>
      <c r="S194" s="43">
        <f t="shared" si="60"/>
        <v>0.96741666666666681</v>
      </c>
      <c r="T194" s="43">
        <f t="shared" si="60"/>
        <v>0.96741666666666681</v>
      </c>
      <c r="U194" s="43">
        <f t="shared" si="60"/>
        <v>0.74416666666666675</v>
      </c>
    </row>
    <row r="195" spans="1:95" x14ac:dyDescent="0.25">
      <c r="A195" s="91" t="s">
        <v>80</v>
      </c>
      <c r="B195" s="48"/>
      <c r="C195" s="48"/>
      <c r="D195" s="48"/>
      <c r="E195" s="48"/>
      <c r="F195" s="49"/>
      <c r="G195" s="48"/>
      <c r="H195" s="48"/>
      <c r="I195" s="48"/>
      <c r="J195" s="48"/>
      <c r="K195" s="49"/>
      <c r="L195" s="48"/>
      <c r="M195" s="48"/>
      <c r="N195" s="48"/>
      <c r="O195" s="48"/>
      <c r="P195" s="49"/>
      <c r="Q195" s="48"/>
      <c r="R195" s="48"/>
      <c r="S195" s="48"/>
      <c r="T195" s="48"/>
      <c r="U195" s="49"/>
    </row>
    <row r="196" spans="1:95" x14ac:dyDescent="0.25">
      <c r="A196" s="91" t="s">
        <v>55</v>
      </c>
      <c r="C196" s="43">
        <f>SUM(C190:C195)</f>
        <v>24.265016666666664</v>
      </c>
      <c r="D196" s="43">
        <f>SUM(D190:D195)</f>
        <v>31.544521666666661</v>
      </c>
      <c r="E196" s="43">
        <f>SUM(E190:E195)</f>
        <v>46.199521666666662</v>
      </c>
      <c r="F196" s="43">
        <f>SUM(F190:F195)</f>
        <v>27.196016666666662</v>
      </c>
      <c r="H196" s="43">
        <f>SUM(H190:H195)</f>
        <v>28.884272666666664</v>
      </c>
      <c r="I196" s="43">
        <f>SUM(I190:I195)</f>
        <v>38.721954466666666</v>
      </c>
      <c r="J196" s="43">
        <f>SUM(J190:J195)</f>
        <v>53.376954466666668</v>
      </c>
      <c r="K196" s="43">
        <f>SUM(K190:K195)</f>
        <v>31.815272666666662</v>
      </c>
      <c r="M196" s="43">
        <f>SUM(M190:M195)</f>
        <v>29.634272666666664</v>
      </c>
      <c r="N196" s="43">
        <f>SUM(N190:N195)</f>
        <v>39.696954466666661</v>
      </c>
      <c r="O196" s="43">
        <f>SUM(O190:O195)</f>
        <v>54.351954466666662</v>
      </c>
      <c r="P196" s="43">
        <f>SUM(P190:P195)</f>
        <v>32.565272666666658</v>
      </c>
      <c r="R196" s="43">
        <f>SUM(R190:R195)</f>
        <v>29.634272666666664</v>
      </c>
      <c r="S196" s="43">
        <f>SUM(S190:S195)</f>
        <v>39.696954466666661</v>
      </c>
      <c r="T196" s="43">
        <f>SUM(T190:T195)</f>
        <v>54.351954466666662</v>
      </c>
      <c r="U196" s="43">
        <f>SUM(U190:U195)</f>
        <v>32.565272666666658</v>
      </c>
    </row>
    <row r="198" spans="1:95" x14ac:dyDescent="0.25">
      <c r="B198" s="57" t="s">
        <v>76</v>
      </c>
      <c r="C198" s="43" t="s">
        <v>93</v>
      </c>
      <c r="E198" s="43" t="s">
        <v>249</v>
      </c>
      <c r="K198" s="43" t="s">
        <v>250</v>
      </c>
      <c r="O198" s="43" t="s">
        <v>251</v>
      </c>
      <c r="V198" s="43" t="s">
        <v>252</v>
      </c>
      <c r="Z198" s="88"/>
      <c r="AA198" s="138" t="s">
        <v>248</v>
      </c>
      <c r="AB198" s="43"/>
      <c r="AC198" s="74" t="s">
        <v>249</v>
      </c>
      <c r="AD198" s="43"/>
      <c r="AE198" s="74"/>
      <c r="AF198" s="43"/>
      <c r="AG198" s="43"/>
      <c r="AH198" s="43"/>
      <c r="AI198" s="43" t="s">
        <v>250</v>
      </c>
      <c r="AJ198" s="43"/>
      <c r="AK198" s="43"/>
      <c r="AM198" s="43"/>
      <c r="AN198" s="43" t="s">
        <v>251</v>
      </c>
      <c r="AO198" s="43"/>
      <c r="AP198" s="43"/>
      <c r="AQ198" s="43"/>
      <c r="AR198" s="43"/>
      <c r="AS198" s="43"/>
      <c r="AT198" s="43" t="s">
        <v>252</v>
      </c>
      <c r="AW198" s="91"/>
      <c r="AX198" s="88"/>
      <c r="AY198" s="64" t="s">
        <v>248</v>
      </c>
      <c r="BA198" s="43" t="s">
        <v>249</v>
      </c>
      <c r="BG198" s="43" t="s">
        <v>250</v>
      </c>
      <c r="BJ198" s="91"/>
      <c r="BL198" s="43" t="s">
        <v>251</v>
      </c>
      <c r="BR198" s="43" t="s">
        <v>252</v>
      </c>
      <c r="BS198" s="91"/>
      <c r="BU198" s="91"/>
      <c r="BV198" s="88"/>
      <c r="BW198" s="64" t="s">
        <v>248</v>
      </c>
      <c r="BY198" s="43" t="s">
        <v>249</v>
      </c>
      <c r="CE198" s="43" t="s">
        <v>250</v>
      </c>
      <c r="CJ198" s="43" t="s">
        <v>251</v>
      </c>
      <c r="CP198" s="43" t="s">
        <v>252</v>
      </c>
    </row>
    <row r="199" spans="1:95" x14ac:dyDescent="0.25">
      <c r="A199" s="88"/>
      <c r="B199" s="66" t="s">
        <v>128</v>
      </c>
      <c r="C199" s="67">
        <v>6</v>
      </c>
      <c r="D199" s="65" t="s">
        <v>51</v>
      </c>
      <c r="E199" s="65">
        <v>1.6</v>
      </c>
      <c r="F199" s="65"/>
      <c r="G199" s="65"/>
      <c r="H199" s="65"/>
      <c r="I199" s="65"/>
      <c r="J199" s="65" t="s">
        <v>51</v>
      </c>
      <c r="K199" s="65">
        <v>2.1</v>
      </c>
      <c r="L199" s="65"/>
      <c r="M199" s="65"/>
      <c r="N199" s="65"/>
      <c r="O199" s="65"/>
      <c r="P199" s="65"/>
      <c r="Q199" s="67"/>
      <c r="R199" s="65"/>
      <c r="S199" s="65"/>
      <c r="T199" s="65"/>
      <c r="U199" s="65"/>
      <c r="Y199" s="136" t="s">
        <v>128</v>
      </c>
      <c r="Z199" s="67" t="s">
        <v>95</v>
      </c>
      <c r="AA199" s="74" t="s">
        <v>51</v>
      </c>
      <c r="AB199" s="65">
        <v>1.6</v>
      </c>
      <c r="AC199" s="74"/>
      <c r="AD199" s="65"/>
      <c r="AE199" s="74"/>
      <c r="AF199" s="65"/>
      <c r="AG199" s="65" t="s">
        <v>51</v>
      </c>
      <c r="AH199" s="65">
        <v>2.1</v>
      </c>
      <c r="AW199" s="66" t="s">
        <v>128</v>
      </c>
      <c r="AX199" s="67" t="s">
        <v>96</v>
      </c>
      <c r="AY199" s="65" t="s">
        <v>51</v>
      </c>
      <c r="AZ199" s="65">
        <v>1.6</v>
      </c>
      <c r="BA199" s="65"/>
      <c r="BB199" s="65"/>
      <c r="BC199" s="65"/>
      <c r="BD199" s="65"/>
      <c r="BE199" s="65" t="s">
        <v>51</v>
      </c>
      <c r="BF199" s="65">
        <v>2.1</v>
      </c>
      <c r="BG199" s="91"/>
      <c r="BH199" s="91"/>
      <c r="BI199" s="91"/>
      <c r="BJ199" s="91"/>
      <c r="BK199" s="91"/>
      <c r="BL199" s="91"/>
      <c r="BM199" s="91"/>
      <c r="BN199" s="91"/>
      <c r="BO199" s="91"/>
      <c r="BP199" s="91"/>
      <c r="BQ199" s="91"/>
      <c r="BR199" s="91"/>
      <c r="BS199" s="91"/>
      <c r="BU199" s="66" t="s">
        <v>128</v>
      </c>
      <c r="BV199" s="67"/>
      <c r="BW199" s="65" t="s">
        <v>51</v>
      </c>
      <c r="BX199" s="65">
        <v>1.6</v>
      </c>
      <c r="BY199" s="65"/>
      <c r="BZ199" s="65"/>
      <c r="CA199" s="65"/>
      <c r="CB199" s="65"/>
      <c r="CC199" s="65" t="s">
        <v>51</v>
      </c>
      <c r="CD199" s="65">
        <v>2.1</v>
      </c>
      <c r="CE199" s="91"/>
      <c r="CF199" s="91"/>
    </row>
    <row r="200" spans="1:95" x14ac:dyDescent="0.25">
      <c r="A200" s="88"/>
      <c r="B200" s="68" t="s">
        <v>51</v>
      </c>
      <c r="C200" s="68" t="s">
        <v>37</v>
      </c>
      <c r="D200" s="68" t="s">
        <v>39</v>
      </c>
      <c r="E200" s="68" t="s">
        <v>92</v>
      </c>
      <c r="F200" s="69" t="s">
        <v>91</v>
      </c>
      <c r="G200" s="88"/>
      <c r="H200" s="68" t="s">
        <v>51</v>
      </c>
      <c r="I200" s="68" t="s">
        <v>37</v>
      </c>
      <c r="J200" s="68" t="s">
        <v>39</v>
      </c>
      <c r="K200" s="68" t="s">
        <v>92</v>
      </c>
      <c r="L200" s="69" t="s">
        <v>91</v>
      </c>
      <c r="M200" s="65"/>
      <c r="N200" s="68" t="s">
        <v>51</v>
      </c>
      <c r="O200" s="68" t="s">
        <v>37</v>
      </c>
      <c r="P200" s="68" t="s">
        <v>39</v>
      </c>
      <c r="Q200" s="68" t="s">
        <v>92</v>
      </c>
      <c r="R200" s="69" t="s">
        <v>91</v>
      </c>
      <c r="S200" s="65"/>
      <c r="T200" s="68" t="s">
        <v>37</v>
      </c>
      <c r="U200" s="68" t="s">
        <v>39</v>
      </c>
      <c r="V200" s="68" t="s">
        <v>92</v>
      </c>
      <c r="W200" s="69" t="s">
        <v>91</v>
      </c>
      <c r="Z200" s="68" t="s">
        <v>51</v>
      </c>
      <c r="AA200" s="137" t="s">
        <v>37</v>
      </c>
      <c r="AB200" s="68" t="s">
        <v>39</v>
      </c>
      <c r="AC200" s="137" t="s">
        <v>92</v>
      </c>
      <c r="AD200" s="69" t="s">
        <v>91</v>
      </c>
      <c r="AF200" s="68" t="s">
        <v>51</v>
      </c>
      <c r="AG200" s="68" t="s">
        <v>37</v>
      </c>
      <c r="AH200" s="68" t="s">
        <v>39</v>
      </c>
      <c r="AI200" s="68" t="s">
        <v>92</v>
      </c>
      <c r="AJ200" s="69" t="s">
        <v>91</v>
      </c>
      <c r="AK200" s="43"/>
      <c r="AL200" s="68" t="s">
        <v>51</v>
      </c>
      <c r="AM200" s="68" t="s">
        <v>37</v>
      </c>
      <c r="AN200" s="68" t="s">
        <v>39</v>
      </c>
      <c r="AO200" s="68" t="s">
        <v>92</v>
      </c>
      <c r="AP200" s="69" t="s">
        <v>91</v>
      </c>
      <c r="AQ200" s="43"/>
      <c r="AR200" s="68" t="s">
        <v>37</v>
      </c>
      <c r="AS200" s="68" t="s">
        <v>39</v>
      </c>
      <c r="AT200" s="68" t="s">
        <v>92</v>
      </c>
      <c r="AU200" s="69" t="s">
        <v>91</v>
      </c>
      <c r="AW200" s="88"/>
      <c r="AX200" s="68" t="s">
        <v>51</v>
      </c>
      <c r="AY200" s="68" t="s">
        <v>37</v>
      </c>
      <c r="AZ200" s="68" t="s">
        <v>39</v>
      </c>
      <c r="BA200" s="68" t="s">
        <v>92</v>
      </c>
      <c r="BB200" s="69" t="s">
        <v>91</v>
      </c>
      <c r="BC200" s="88"/>
      <c r="BD200" s="68" t="s">
        <v>51</v>
      </c>
      <c r="BE200" s="68" t="s">
        <v>37</v>
      </c>
      <c r="BF200" s="68" t="s">
        <v>39</v>
      </c>
      <c r="BG200" s="68" t="s">
        <v>92</v>
      </c>
      <c r="BH200" s="69" t="s">
        <v>91</v>
      </c>
      <c r="BJ200" s="68" t="s">
        <v>51</v>
      </c>
      <c r="BK200" s="68" t="s">
        <v>37</v>
      </c>
      <c r="BL200" s="68" t="s">
        <v>39</v>
      </c>
      <c r="BM200" s="68" t="s">
        <v>92</v>
      </c>
      <c r="BN200" s="69" t="s">
        <v>91</v>
      </c>
      <c r="BP200" s="68" t="s">
        <v>37</v>
      </c>
      <c r="BQ200" s="68" t="s">
        <v>39</v>
      </c>
      <c r="BR200" s="68" t="s">
        <v>92</v>
      </c>
      <c r="BS200" s="69" t="s">
        <v>91</v>
      </c>
      <c r="BU200" s="88">
        <v>1</v>
      </c>
      <c r="BV200" s="68" t="s">
        <v>51</v>
      </c>
      <c r="BW200" s="68" t="s">
        <v>37</v>
      </c>
      <c r="BX200" s="68" t="s">
        <v>39</v>
      </c>
      <c r="BY200" s="68" t="s">
        <v>92</v>
      </c>
      <c r="BZ200" s="69" t="s">
        <v>91</v>
      </c>
      <c r="CA200" s="65"/>
      <c r="CB200" s="68" t="s">
        <v>51</v>
      </c>
      <c r="CC200" s="68" t="s">
        <v>37</v>
      </c>
      <c r="CD200" s="68" t="s">
        <v>39</v>
      </c>
      <c r="CE200" s="68" t="s">
        <v>92</v>
      </c>
      <c r="CF200" s="69" t="s">
        <v>91</v>
      </c>
      <c r="CH200" s="68" t="s">
        <v>51</v>
      </c>
      <c r="CI200" s="68" t="s">
        <v>37</v>
      </c>
      <c r="CJ200" s="68" t="s">
        <v>39</v>
      </c>
      <c r="CK200" s="68" t="s">
        <v>92</v>
      </c>
      <c r="CL200" s="69" t="s">
        <v>91</v>
      </c>
      <c r="CN200" s="68" t="s">
        <v>37</v>
      </c>
      <c r="CO200" s="68" t="s">
        <v>39</v>
      </c>
      <c r="CP200" s="68" t="s">
        <v>92</v>
      </c>
      <c r="CQ200" s="69" t="s">
        <v>91</v>
      </c>
    </row>
    <row r="201" spans="1:95" x14ac:dyDescent="0.25">
      <c r="A201" s="88" t="s">
        <v>56</v>
      </c>
      <c r="B201" s="68">
        <f>(3.7/2)+(5/2)</f>
        <v>4.3499999999999996</v>
      </c>
      <c r="C201" s="68">
        <f>B201*'analisi dei carichi'!E35</f>
        <v>18.313499999999994</v>
      </c>
      <c r="D201" s="68">
        <f>B201*'analisi dei carichi'!H35</f>
        <v>23.807549999999992</v>
      </c>
      <c r="E201" s="68">
        <f>B201*'analisi dei carichi'!K35</f>
        <v>36.857549999999989</v>
      </c>
      <c r="F201" s="70">
        <f>B201*'analisi dei carichi'!N35</f>
        <v>20.923499999999994</v>
      </c>
      <c r="G201" s="88" t="s">
        <v>56</v>
      </c>
      <c r="H201" s="68">
        <f>3.9/2</f>
        <v>1.95</v>
      </c>
      <c r="I201" s="68">
        <f>H201*'analisi dei carichi'!E35</f>
        <v>8.2094999999999985</v>
      </c>
      <c r="J201" s="68">
        <f>H201*'analisi dei carichi'!H35</f>
        <v>10.672349999999998</v>
      </c>
      <c r="K201" s="68">
        <f>H201*'analisi dei carichi'!K35</f>
        <v>16.522349999999996</v>
      </c>
      <c r="L201" s="70">
        <f>H201*'analisi dei carichi'!N35</f>
        <v>9.3794999999999966</v>
      </c>
      <c r="M201" s="88" t="s">
        <v>56</v>
      </c>
      <c r="N201" s="68"/>
      <c r="O201" s="68"/>
      <c r="P201" s="68"/>
      <c r="Q201" s="68"/>
      <c r="R201" s="70"/>
      <c r="S201" s="65"/>
      <c r="T201" s="65">
        <f>(C208+I208)/3.7</f>
        <v>16.640554054054054</v>
      </c>
      <c r="U201" s="65">
        <f>(D208+J208)/3.7</f>
        <v>21.632720270270266</v>
      </c>
      <c r="V201" s="65">
        <f>(E208+K208)/3.7</f>
        <v>30.809071621621616</v>
      </c>
      <c r="W201" s="65">
        <f>(F208+L208)/3.7</f>
        <v>18.433256756756752</v>
      </c>
      <c r="Y201" s="134" t="s">
        <v>56</v>
      </c>
      <c r="Z201" s="47">
        <f>B201</f>
        <v>4.3499999999999996</v>
      </c>
      <c r="AA201" s="115">
        <f>Z201*'analisi dei carichi'!O28</f>
        <v>22.426859999999998</v>
      </c>
      <c r="AB201" s="89">
        <f>Z201*'analisi dei carichi'!P28</f>
        <v>30.198917999999995</v>
      </c>
      <c r="AC201" s="115">
        <f>Z201*'analisi dei carichi'!K28</f>
        <v>43.248917999999996</v>
      </c>
      <c r="AD201" s="90">
        <f>Z201*'analisi dei carichi'!N28</f>
        <v>25.036859999999994</v>
      </c>
      <c r="AE201" s="134" t="s">
        <v>56</v>
      </c>
      <c r="AF201" s="89">
        <f>3.9/2</f>
        <v>1.95</v>
      </c>
      <c r="AG201" s="89">
        <f>AF201*'analisi dei carichi'!O28</f>
        <v>10.053419999999999</v>
      </c>
      <c r="AH201" s="89">
        <f>AF201*'analisi dei carichi'!P28</f>
        <v>13.537445999999999</v>
      </c>
      <c r="AI201" s="89">
        <f>AF201*'analisi dei carichi'!K28</f>
        <v>19.387446000000001</v>
      </c>
      <c r="AJ201" s="90">
        <f>AF201*'analisi dei carichi'!N28</f>
        <v>11.223419999999999</v>
      </c>
      <c r="AK201" s="88" t="s">
        <v>56</v>
      </c>
      <c r="AL201" s="89"/>
      <c r="AM201" s="89"/>
      <c r="AN201" s="89"/>
      <c r="AO201" s="89"/>
      <c r="AP201" s="90"/>
      <c r="AR201" s="91">
        <f>(AA208+AG208+AM207)/3.7</f>
        <v>33.720840000000003</v>
      </c>
      <c r="AS201" s="91">
        <f>(AB208+AH208+AN207)/3.7</f>
        <v>44.554173081081075</v>
      </c>
      <c r="AT201" s="91">
        <f>(AC208+AI208+AO207)/3.7</f>
        <v>61.860929837837844</v>
      </c>
      <c r="AU201" s="91">
        <f>(AD208+AJ208+AP207)/3.7</f>
        <v>38.850839999999998</v>
      </c>
      <c r="AW201" s="88" t="s">
        <v>56</v>
      </c>
      <c r="AX201" s="47">
        <f>Z201</f>
        <v>4.3499999999999996</v>
      </c>
      <c r="AY201" s="47">
        <f>AA201</f>
        <v>22.426859999999998</v>
      </c>
      <c r="AZ201" s="47">
        <f>AB201</f>
        <v>30.198917999999995</v>
      </c>
      <c r="BA201" s="47">
        <f>AC201</f>
        <v>43.248917999999996</v>
      </c>
      <c r="BB201" s="46">
        <f>AD201</f>
        <v>25.036859999999994</v>
      </c>
      <c r="BC201" s="88" t="s">
        <v>56</v>
      </c>
      <c r="BD201" s="47">
        <f>AF201</f>
        <v>1.95</v>
      </c>
      <c r="BE201" s="47">
        <f t="shared" ref="BE201:BH202" si="62">AG201</f>
        <v>10.053419999999999</v>
      </c>
      <c r="BF201" s="47">
        <f t="shared" si="62"/>
        <v>13.537445999999999</v>
      </c>
      <c r="BG201" s="47">
        <f t="shared" si="62"/>
        <v>19.387446000000001</v>
      </c>
      <c r="BH201" s="47">
        <f t="shared" si="62"/>
        <v>11.223419999999999</v>
      </c>
      <c r="BI201" s="88" t="s">
        <v>56</v>
      </c>
      <c r="BJ201" s="47"/>
      <c r="BK201" s="47"/>
      <c r="BL201" s="47"/>
      <c r="BM201" s="47"/>
      <c r="BN201" s="46"/>
      <c r="BP201" s="43">
        <f>(AY208+BE208+BK207)/3.7</f>
        <v>34.470839999999995</v>
      </c>
      <c r="BQ201" s="43">
        <f>(AZ208+BF208+BL207)/3.7</f>
        <v>45.529173081081083</v>
      </c>
      <c r="BR201" s="43">
        <f>(BA208+BG208+BM207)/3.7</f>
        <v>62.835929837837831</v>
      </c>
      <c r="BS201" s="43">
        <f>(BB208+BH208+BN207)/3.7</f>
        <v>39.600839999999998</v>
      </c>
      <c r="BU201" s="88" t="s">
        <v>56</v>
      </c>
      <c r="BV201" s="47">
        <f>AX201</f>
        <v>4.3499999999999996</v>
      </c>
      <c r="BW201" s="47">
        <f>AY201</f>
        <v>22.426859999999998</v>
      </c>
      <c r="BX201" s="47">
        <f>AZ201</f>
        <v>30.198917999999995</v>
      </c>
      <c r="BY201" s="47">
        <f>BA201</f>
        <v>43.248917999999996</v>
      </c>
      <c r="BZ201" s="46">
        <f>BB201</f>
        <v>25.036859999999994</v>
      </c>
      <c r="CA201" s="88" t="s">
        <v>56</v>
      </c>
      <c r="CB201" s="47">
        <f>BD201</f>
        <v>1.95</v>
      </c>
      <c r="CC201" s="47">
        <f>BE201</f>
        <v>10.053419999999999</v>
      </c>
      <c r="CD201" s="47">
        <f>BF201</f>
        <v>13.537445999999999</v>
      </c>
      <c r="CE201" s="47">
        <f>BG201</f>
        <v>19.387446000000001</v>
      </c>
      <c r="CF201" s="46">
        <f>BH201</f>
        <v>11.223419999999999</v>
      </c>
      <c r="CG201" s="88" t="s">
        <v>56</v>
      </c>
      <c r="CH201" s="47"/>
      <c r="CI201" s="47"/>
      <c r="CJ201" s="47"/>
      <c r="CK201" s="47"/>
      <c r="CL201" s="46"/>
      <c r="CN201" s="43">
        <f>(BW208+CC208+CI207)/3.7</f>
        <v>34.470839999999995</v>
      </c>
      <c r="CO201" s="43">
        <f>(BX208+CD208+CJ207)/3.7</f>
        <v>45.529173081081083</v>
      </c>
      <c r="CP201" s="43">
        <f>(BY208+CE208+CK207)/3.7</f>
        <v>62.835929837837831</v>
      </c>
      <c r="CQ201" s="43">
        <f>(BZ208+CF208+CL207)/3.7</f>
        <v>39.600839999999998</v>
      </c>
    </row>
    <row r="202" spans="1:95" x14ac:dyDescent="0.25">
      <c r="A202" s="170" t="s">
        <v>340</v>
      </c>
      <c r="B202" s="68"/>
      <c r="C202" s="68"/>
      <c r="D202" s="68"/>
      <c r="E202" s="68"/>
      <c r="F202" s="70"/>
      <c r="G202" s="170" t="s">
        <v>340</v>
      </c>
      <c r="H202" s="68">
        <v>0.5</v>
      </c>
      <c r="I202" s="68">
        <f>H202*'analisi dei carichi'!E38</f>
        <v>1.95</v>
      </c>
      <c r="J202" s="68">
        <f>H202*'analisi dei carichi'!H38</f>
        <v>2.5350000000000001</v>
      </c>
      <c r="K202" s="68">
        <f>H202*'analisi dei carichi'!K38</f>
        <v>2.91</v>
      </c>
      <c r="L202" s="70">
        <f>H202*'analisi dei carichi'!N38</f>
        <v>1.95</v>
      </c>
      <c r="M202" s="170" t="s">
        <v>340</v>
      </c>
      <c r="N202" s="68"/>
      <c r="O202" s="68"/>
      <c r="P202" s="68"/>
      <c r="Q202" s="68"/>
      <c r="R202" s="70"/>
      <c r="S202" s="65"/>
      <c r="T202" s="65"/>
      <c r="U202" s="65"/>
      <c r="V202" s="65"/>
      <c r="Y202" s="170" t="s">
        <v>340</v>
      </c>
      <c r="Z202" s="47"/>
      <c r="AA202" s="115"/>
      <c r="AB202" s="89"/>
      <c r="AC202" s="115"/>
      <c r="AD202" s="90"/>
      <c r="AE202" s="170" t="s">
        <v>340</v>
      </c>
      <c r="AF202" s="89">
        <f>4.9/2</f>
        <v>2.4500000000000002</v>
      </c>
      <c r="AG202" s="89">
        <f>AF202*'analisi dei carichi'!E32</f>
        <v>10.314499999999999</v>
      </c>
      <c r="AH202" s="89">
        <f>AF202*'analisi dei carichi'!H32</f>
        <v>13.408849999999999</v>
      </c>
      <c r="AI202" s="89">
        <f>AF202*'analisi dei carichi'!K32</f>
        <v>28.10885</v>
      </c>
      <c r="AJ202" s="90">
        <f>AF202*'analisi dei carichi'!N32</f>
        <v>16.194500000000001</v>
      </c>
      <c r="AK202" s="170" t="s">
        <v>340</v>
      </c>
      <c r="AL202" s="89"/>
      <c r="AM202" s="89"/>
      <c r="AN202" s="89"/>
      <c r="AO202" s="89"/>
      <c r="AP202" s="90"/>
      <c r="AW202" s="88" t="s">
        <v>340</v>
      </c>
      <c r="AY202" s="47"/>
      <c r="AZ202" s="47"/>
      <c r="BA202" s="47"/>
      <c r="BB202" s="46"/>
      <c r="BC202" s="170" t="s">
        <v>340</v>
      </c>
      <c r="BD202" s="47">
        <f>AF202</f>
        <v>2.4500000000000002</v>
      </c>
      <c r="BE202" s="47">
        <f t="shared" si="62"/>
        <v>10.314499999999999</v>
      </c>
      <c r="BF202" s="47">
        <f t="shared" si="62"/>
        <v>13.408849999999999</v>
      </c>
      <c r="BG202" s="47">
        <f t="shared" si="62"/>
        <v>28.10885</v>
      </c>
      <c r="BH202" s="47">
        <f t="shared" si="62"/>
        <v>16.194500000000001</v>
      </c>
      <c r="BI202" s="170" t="s">
        <v>340</v>
      </c>
      <c r="BJ202" s="47"/>
      <c r="BK202" s="47"/>
      <c r="BL202" s="47"/>
      <c r="BM202" s="47"/>
      <c r="BN202" s="46"/>
      <c r="BU202" s="170" t="s">
        <v>340</v>
      </c>
      <c r="BV202" s="47"/>
      <c r="BW202" s="47"/>
      <c r="BX202" s="47"/>
      <c r="BY202" s="47"/>
      <c r="BZ202" s="46"/>
      <c r="CA202" s="170" t="s">
        <v>340</v>
      </c>
      <c r="CB202" s="47"/>
      <c r="CC202" s="47"/>
      <c r="CD202" s="47"/>
      <c r="CE202" s="47"/>
      <c r="CF202" s="46"/>
      <c r="CG202" s="170" t="s">
        <v>340</v>
      </c>
      <c r="CH202" s="47"/>
      <c r="CI202" s="47"/>
      <c r="CJ202" s="47"/>
      <c r="CK202" s="47"/>
      <c r="CL202" s="46"/>
    </row>
    <row r="203" spans="1:95" x14ac:dyDescent="0.25">
      <c r="A203" s="88" t="s">
        <v>77</v>
      </c>
      <c r="B203" s="68"/>
      <c r="C203" s="68"/>
      <c r="D203" s="68"/>
      <c r="E203" s="68"/>
      <c r="F203" s="70"/>
      <c r="G203" s="88" t="s">
        <v>77</v>
      </c>
      <c r="H203" s="68"/>
      <c r="I203" s="68"/>
      <c r="J203" s="68"/>
      <c r="K203" s="68"/>
      <c r="L203" s="70"/>
      <c r="M203" s="88" t="s">
        <v>77</v>
      </c>
      <c r="N203" s="68"/>
      <c r="O203" s="68"/>
      <c r="P203" s="68"/>
      <c r="Q203" s="68"/>
      <c r="R203" s="70"/>
      <c r="S203" s="65"/>
      <c r="T203" s="65"/>
      <c r="U203" s="65"/>
      <c r="V203" s="65"/>
      <c r="Y203" s="134" t="s">
        <v>77</v>
      </c>
      <c r="Z203" s="47"/>
      <c r="AA203" s="115"/>
      <c r="AB203" s="89"/>
      <c r="AC203" s="115"/>
      <c r="AD203" s="90"/>
      <c r="AE203" s="134" t="s">
        <v>77</v>
      </c>
      <c r="AF203" s="89"/>
      <c r="AG203" s="89"/>
      <c r="AH203" s="89"/>
      <c r="AI203" s="89"/>
      <c r="AJ203" s="90"/>
      <c r="AK203" s="88" t="s">
        <v>77</v>
      </c>
      <c r="AL203" s="89"/>
      <c r="AM203" s="89"/>
      <c r="AN203" s="89"/>
      <c r="AO203" s="89"/>
      <c r="AP203" s="90"/>
      <c r="AW203" s="88" t="s">
        <v>77</v>
      </c>
      <c r="AX203" s="47"/>
      <c r="AY203" s="47"/>
      <c r="AZ203" s="47"/>
      <c r="BA203" s="47"/>
      <c r="BB203" s="46"/>
      <c r="BC203" s="88" t="s">
        <v>77</v>
      </c>
      <c r="BD203" s="47"/>
      <c r="BE203" s="47"/>
      <c r="BF203" s="47"/>
      <c r="BG203" s="47"/>
      <c r="BH203" s="46"/>
      <c r="BI203" s="88" t="s">
        <v>77</v>
      </c>
      <c r="BJ203" s="47"/>
      <c r="BK203" s="47"/>
      <c r="BL203" s="47"/>
      <c r="BM203" s="47"/>
      <c r="BN203" s="46"/>
      <c r="BU203" s="88" t="s">
        <v>77</v>
      </c>
      <c r="BV203" s="47"/>
      <c r="BW203" s="47"/>
      <c r="BX203" s="47"/>
      <c r="BY203" s="47"/>
      <c r="BZ203" s="46"/>
      <c r="CA203" s="88" t="s">
        <v>77</v>
      </c>
      <c r="CB203" s="47"/>
      <c r="CC203" s="47"/>
      <c r="CD203" s="47"/>
      <c r="CE203" s="47"/>
      <c r="CF203" s="46"/>
      <c r="CG203" s="88" t="s">
        <v>77</v>
      </c>
      <c r="CH203" s="47"/>
      <c r="CI203" s="47"/>
      <c r="CJ203" s="47"/>
      <c r="CK203" s="47"/>
      <c r="CL203" s="46"/>
    </row>
    <row r="204" spans="1:95" x14ac:dyDescent="0.25">
      <c r="A204" s="88" t="s">
        <v>78</v>
      </c>
      <c r="B204" s="68">
        <v>1</v>
      </c>
      <c r="C204" s="68">
        <f>B204*'analisi dei carichi'!E37</f>
        <v>2.9550000000000001</v>
      </c>
      <c r="D204" s="68">
        <f>B204*'analisi dei carichi'!H37</f>
        <v>3.8415000000000004</v>
      </c>
      <c r="E204" s="68">
        <f>B204*'analisi dei carichi'!K37</f>
        <v>3.8415000000000004</v>
      </c>
      <c r="F204" s="70">
        <f>B204*'analisi dei carichi'!N37</f>
        <v>2.9550000000000001</v>
      </c>
      <c r="G204" s="88" t="s">
        <v>78</v>
      </c>
      <c r="H204" s="68">
        <f>B204</f>
        <v>1</v>
      </c>
      <c r="I204" s="68">
        <f>C204</f>
        <v>2.9550000000000001</v>
      </c>
      <c r="J204" s="68">
        <f>D204</f>
        <v>3.8415000000000004</v>
      </c>
      <c r="K204" s="68">
        <f>E204</f>
        <v>3.8415000000000004</v>
      </c>
      <c r="L204" s="70">
        <f>F204</f>
        <v>2.9550000000000001</v>
      </c>
      <c r="M204" s="88" t="s">
        <v>78</v>
      </c>
      <c r="N204" s="68"/>
      <c r="O204" s="68"/>
      <c r="P204" s="68"/>
      <c r="Q204" s="68"/>
      <c r="R204" s="70"/>
      <c r="S204" s="65"/>
      <c r="T204" s="65"/>
      <c r="U204" s="65"/>
      <c r="V204" s="65"/>
      <c r="Y204" s="134" t="s">
        <v>78</v>
      </c>
      <c r="Z204" s="47">
        <f>B204</f>
        <v>1</v>
      </c>
      <c r="AA204" s="137">
        <f>C204</f>
        <v>2.9550000000000001</v>
      </c>
      <c r="AB204" s="47">
        <f>D204</f>
        <v>3.8415000000000004</v>
      </c>
      <c r="AC204" s="137">
        <f>E204</f>
        <v>3.8415000000000004</v>
      </c>
      <c r="AD204" s="47">
        <f>F204</f>
        <v>2.9550000000000001</v>
      </c>
      <c r="AE204" s="134" t="s">
        <v>78</v>
      </c>
      <c r="AF204" s="47">
        <f>H204</f>
        <v>1</v>
      </c>
      <c r="AG204" s="47">
        <f>I204</f>
        <v>2.9550000000000001</v>
      </c>
      <c r="AH204" s="47">
        <f>J204</f>
        <v>3.8415000000000004</v>
      </c>
      <c r="AI204" s="47">
        <f>K204</f>
        <v>3.8415000000000004</v>
      </c>
      <c r="AJ204" s="46">
        <f>L204</f>
        <v>2.9550000000000001</v>
      </c>
      <c r="AK204" s="88" t="s">
        <v>78</v>
      </c>
      <c r="AL204" s="89"/>
      <c r="AM204" s="89"/>
      <c r="AN204" s="89"/>
      <c r="AO204" s="89"/>
      <c r="AP204" s="90"/>
      <c r="AW204" s="88" t="s">
        <v>78</v>
      </c>
      <c r="AX204" s="47">
        <f>Z204</f>
        <v>1</v>
      </c>
      <c r="AY204" s="47">
        <f>AX204*'analisi dei carichi'!E30</f>
        <v>3.7050000000000001</v>
      </c>
      <c r="AZ204" s="47">
        <f>AX204*'analisi dei carichi'!H30</f>
        <v>4.8165000000000004</v>
      </c>
      <c r="BA204" s="47">
        <f>AX204*'analisi dei carichi'!K30</f>
        <v>4.8165000000000004</v>
      </c>
      <c r="BB204" s="46">
        <f>AX204*'analisi dei carichi'!N30</f>
        <v>3.7050000000000001</v>
      </c>
      <c r="BC204" s="88" t="s">
        <v>78</v>
      </c>
      <c r="BD204" s="47">
        <f>AF204</f>
        <v>1</v>
      </c>
      <c r="BE204" s="47">
        <f>BD204*'analisi dei carichi'!E30</f>
        <v>3.7050000000000001</v>
      </c>
      <c r="BF204" s="47">
        <f>BD204*'analisi dei carichi'!H30</f>
        <v>4.8165000000000004</v>
      </c>
      <c r="BG204" s="47">
        <f>BD204*'analisi dei carichi'!K30</f>
        <v>4.8165000000000004</v>
      </c>
      <c r="BH204" s="46">
        <f>BD204*'analisi dei carichi'!N30</f>
        <v>3.7050000000000001</v>
      </c>
      <c r="BI204" s="88" t="s">
        <v>78</v>
      </c>
      <c r="BJ204" s="47"/>
      <c r="BK204" s="47"/>
      <c r="BL204" s="47"/>
      <c r="BM204" s="47"/>
      <c r="BN204" s="46"/>
      <c r="BU204" s="88" t="s">
        <v>78</v>
      </c>
      <c r="BV204" s="47">
        <f>AX204</f>
        <v>1</v>
      </c>
      <c r="BW204" s="47">
        <f>AY204</f>
        <v>3.7050000000000001</v>
      </c>
      <c r="BX204" s="47">
        <f>AZ204</f>
        <v>4.8165000000000004</v>
      </c>
      <c r="BY204" s="47">
        <f>BA204</f>
        <v>4.8165000000000004</v>
      </c>
      <c r="BZ204" s="46">
        <f>BB204</f>
        <v>3.7050000000000001</v>
      </c>
      <c r="CA204" s="88" t="s">
        <v>78</v>
      </c>
      <c r="CB204" s="47">
        <f>BD204</f>
        <v>1</v>
      </c>
      <c r="CC204" s="47">
        <f>BE204</f>
        <v>3.7050000000000001</v>
      </c>
      <c r="CD204" s="47">
        <f>BF204</f>
        <v>4.8165000000000004</v>
      </c>
      <c r="CE204" s="47">
        <f>BG204</f>
        <v>4.8165000000000004</v>
      </c>
      <c r="CF204" s="46">
        <f>BH204</f>
        <v>3.7050000000000001</v>
      </c>
      <c r="CG204" s="88" t="s">
        <v>78</v>
      </c>
      <c r="CH204" s="47"/>
      <c r="CI204" s="47"/>
      <c r="CJ204" s="47"/>
      <c r="CK204" s="47"/>
      <c r="CL204" s="46"/>
    </row>
    <row r="205" spans="1:95" x14ac:dyDescent="0.25">
      <c r="A205" s="88" t="s">
        <v>79</v>
      </c>
      <c r="D205" s="68"/>
      <c r="E205" s="68"/>
      <c r="F205" s="70"/>
      <c r="G205" s="88" t="s">
        <v>79</v>
      </c>
      <c r="H205" s="68"/>
      <c r="I205" s="68"/>
      <c r="J205" s="68"/>
      <c r="K205" s="68"/>
      <c r="L205" s="70"/>
      <c r="M205" s="88" t="s">
        <v>79</v>
      </c>
      <c r="N205" s="68"/>
      <c r="O205" s="68"/>
      <c r="P205" s="68"/>
      <c r="Q205" s="68"/>
      <c r="R205" s="70"/>
      <c r="S205" s="65"/>
      <c r="T205" s="65"/>
      <c r="U205" s="65"/>
      <c r="V205" s="65"/>
      <c r="Y205" s="134" t="s">
        <v>79</v>
      </c>
      <c r="Z205" s="47"/>
      <c r="AA205" s="115"/>
      <c r="AB205" s="89"/>
      <c r="AC205" s="115"/>
      <c r="AD205" s="90"/>
      <c r="AE205" s="134" t="s">
        <v>79</v>
      </c>
      <c r="AF205" s="47"/>
      <c r="AG205" s="47"/>
      <c r="AH205" s="47"/>
      <c r="AI205" s="47"/>
      <c r="AJ205" s="46"/>
      <c r="AK205" s="88" t="s">
        <v>79</v>
      </c>
      <c r="AL205" s="89"/>
      <c r="AM205" s="89"/>
      <c r="AN205" s="89"/>
      <c r="AO205" s="89"/>
      <c r="AP205" s="90"/>
      <c r="AW205" s="88" t="s">
        <v>79</v>
      </c>
      <c r="AX205" s="47"/>
      <c r="BB205" s="46"/>
      <c r="BC205" s="88" t="s">
        <v>79</v>
      </c>
      <c r="BD205" s="47"/>
      <c r="BE205" s="47"/>
      <c r="BF205" s="47"/>
      <c r="BG205" s="47"/>
      <c r="BH205" s="46"/>
      <c r="BI205" s="88" t="s">
        <v>79</v>
      </c>
      <c r="BJ205" s="47"/>
      <c r="BK205" s="47"/>
      <c r="BL205" s="47"/>
      <c r="BM205" s="47"/>
      <c r="BN205" s="46"/>
      <c r="BU205" s="88" t="s">
        <v>79</v>
      </c>
      <c r="BV205" s="47"/>
      <c r="BW205" s="47"/>
      <c r="BX205" s="47"/>
      <c r="BY205" s="47"/>
      <c r="BZ205" s="46"/>
      <c r="CA205" s="88" t="s">
        <v>79</v>
      </c>
      <c r="CB205" s="47"/>
      <c r="CC205" s="47"/>
      <c r="CD205" s="47"/>
      <c r="CE205" s="47"/>
      <c r="CF205" s="46"/>
      <c r="CG205" s="88" t="s">
        <v>79</v>
      </c>
      <c r="CH205" s="47"/>
      <c r="CI205" s="47"/>
      <c r="CJ205" s="47"/>
      <c r="CK205" s="47"/>
      <c r="CL205" s="46"/>
    </row>
    <row r="206" spans="1:95" x14ac:dyDescent="0.25">
      <c r="A206" s="88" t="s">
        <v>80</v>
      </c>
      <c r="B206" s="71"/>
      <c r="C206" s="71"/>
      <c r="D206" s="71"/>
      <c r="E206" s="71"/>
      <c r="F206" s="72"/>
      <c r="G206" s="88" t="s">
        <v>80</v>
      </c>
      <c r="M206" s="88" t="s">
        <v>80</v>
      </c>
      <c r="S206" s="65"/>
      <c r="T206" s="65"/>
      <c r="U206" s="65"/>
      <c r="V206" s="65"/>
      <c r="Y206" s="134" t="s">
        <v>80</v>
      </c>
      <c r="Z206" s="71">
        <v>1</v>
      </c>
      <c r="AA206" s="139">
        <f>Z206*'analisi dei carichi'!E29</f>
        <v>5.7200000000000006</v>
      </c>
      <c r="AB206" s="71">
        <f>Z206*'analisi dei carichi'!H29</f>
        <v>7.4360000000000008</v>
      </c>
      <c r="AC206" s="139">
        <f>Z206*'analisi dei carichi'!K29</f>
        <v>7.4360000000000008</v>
      </c>
      <c r="AD206" s="72">
        <f>Z206*'analisi dei carichi'!N29</f>
        <v>5.7200000000000006</v>
      </c>
      <c r="AE206" s="134" t="s">
        <v>80</v>
      </c>
      <c r="AF206" s="48">
        <f>Z206</f>
        <v>1</v>
      </c>
      <c r="AG206" s="48">
        <f>AA206</f>
        <v>5.7200000000000006</v>
      </c>
      <c r="AH206" s="48">
        <f>AB206</f>
        <v>7.4360000000000008</v>
      </c>
      <c r="AI206" s="48">
        <f>AC206</f>
        <v>7.4360000000000008</v>
      </c>
      <c r="AJ206" s="49">
        <f>AD206</f>
        <v>5.7200000000000006</v>
      </c>
      <c r="AK206" s="88" t="s">
        <v>80</v>
      </c>
      <c r="AL206" s="71">
        <f>4.9/2</f>
        <v>2.4500000000000002</v>
      </c>
      <c r="AM206" s="71">
        <f>AL206*'analisi dei carichi'!E29</f>
        <v>14.014000000000003</v>
      </c>
      <c r="AN206" s="71">
        <f>AL206*'analisi dei carichi'!H29</f>
        <v>18.218200000000003</v>
      </c>
      <c r="AO206" s="71">
        <f>AL206*'analisi dei carichi'!K29</f>
        <v>18.218200000000003</v>
      </c>
      <c r="AP206" s="72">
        <f>AL206*'analisi dei carichi'!N29</f>
        <v>14.014000000000003</v>
      </c>
      <c r="AW206" s="88" t="s">
        <v>80</v>
      </c>
      <c r="AX206" s="47">
        <f>Z206</f>
        <v>1</v>
      </c>
      <c r="AY206" s="47">
        <f>AA206</f>
        <v>5.7200000000000006</v>
      </c>
      <c r="AZ206" s="47">
        <f>AB206</f>
        <v>7.4360000000000008</v>
      </c>
      <c r="BA206" s="47">
        <f>AC206</f>
        <v>7.4360000000000008</v>
      </c>
      <c r="BB206" s="47">
        <f>AD206</f>
        <v>5.7200000000000006</v>
      </c>
      <c r="BC206" s="88" t="s">
        <v>80</v>
      </c>
      <c r="BD206" s="48">
        <f>AF206</f>
        <v>1</v>
      </c>
      <c r="BE206" s="48">
        <f>AG206</f>
        <v>5.7200000000000006</v>
      </c>
      <c r="BF206" s="48">
        <f>AH206</f>
        <v>7.4360000000000008</v>
      </c>
      <c r="BG206" s="48">
        <f>AI206</f>
        <v>7.4360000000000008</v>
      </c>
      <c r="BH206" s="48">
        <f>AJ206</f>
        <v>5.7200000000000006</v>
      </c>
      <c r="BI206" s="88" t="s">
        <v>80</v>
      </c>
      <c r="BJ206" s="48">
        <f t="shared" ref="BJ206:BN207" si="63">AL206</f>
        <v>2.4500000000000002</v>
      </c>
      <c r="BK206" s="48">
        <f t="shared" si="63"/>
        <v>14.014000000000003</v>
      </c>
      <c r="BL206" s="48">
        <f t="shared" si="63"/>
        <v>18.218200000000003</v>
      </c>
      <c r="BM206" s="48">
        <f t="shared" si="63"/>
        <v>18.218200000000003</v>
      </c>
      <c r="BN206" s="48">
        <f t="shared" si="63"/>
        <v>14.014000000000003</v>
      </c>
      <c r="BU206" s="88" t="s">
        <v>80</v>
      </c>
      <c r="BV206" s="47">
        <f>AX206</f>
        <v>1</v>
      </c>
      <c r="BW206" s="47">
        <f>AY206</f>
        <v>5.7200000000000006</v>
      </c>
      <c r="BX206" s="47">
        <f>AZ206</f>
        <v>7.4360000000000008</v>
      </c>
      <c r="BY206" s="47">
        <f>BA206</f>
        <v>7.4360000000000008</v>
      </c>
      <c r="BZ206" s="47">
        <f>BB206</f>
        <v>5.7200000000000006</v>
      </c>
      <c r="CA206" s="88" t="s">
        <v>80</v>
      </c>
      <c r="CB206" s="48">
        <f>BD206</f>
        <v>1</v>
      </c>
      <c r="CC206" s="48">
        <f>BE206</f>
        <v>5.7200000000000006</v>
      </c>
      <c r="CD206" s="48">
        <f>BF206</f>
        <v>7.4360000000000008</v>
      </c>
      <c r="CE206" s="48">
        <f>BG206</f>
        <v>7.4360000000000008</v>
      </c>
      <c r="CF206" s="49">
        <f>BH206</f>
        <v>5.7200000000000006</v>
      </c>
      <c r="CG206" s="88" t="s">
        <v>80</v>
      </c>
      <c r="CH206" s="48">
        <f>travi!BJ206</f>
        <v>2.4500000000000002</v>
      </c>
      <c r="CI206" s="48">
        <f>travi!BK206</f>
        <v>14.014000000000003</v>
      </c>
      <c r="CJ206" s="48">
        <f>travi!BL206</f>
        <v>18.218200000000003</v>
      </c>
      <c r="CK206" s="48">
        <f>travi!BM206</f>
        <v>18.218200000000003</v>
      </c>
      <c r="CL206" s="49">
        <f>travi!BN206</f>
        <v>14.014000000000003</v>
      </c>
    </row>
    <row r="207" spans="1:95" x14ac:dyDescent="0.25">
      <c r="A207" s="88" t="s">
        <v>55</v>
      </c>
      <c r="B207" s="65"/>
      <c r="C207" s="65">
        <f>SUM(C201:C206)</f>
        <v>21.268499999999996</v>
      </c>
      <c r="D207" s="65">
        <f>SUM(D201:D206)</f>
        <v>27.649049999999992</v>
      </c>
      <c r="E207" s="65">
        <f>SUM(E201:E206)</f>
        <v>40.699049999999993</v>
      </c>
      <c r="F207" s="65">
        <f>SUM(F201:F206)</f>
        <v>23.878499999999995</v>
      </c>
      <c r="G207" s="88" t="s">
        <v>55</v>
      </c>
      <c r="H207" s="65"/>
      <c r="I207" s="65">
        <f>SUM(I201:I206)</f>
        <v>13.114499999999998</v>
      </c>
      <c r="J207" s="65">
        <f>SUM(J201:J206)</f>
        <v>17.048849999999998</v>
      </c>
      <c r="K207" s="65">
        <f>SUM(K201:K206)</f>
        <v>23.273849999999996</v>
      </c>
      <c r="L207" s="65">
        <f>SUM(L201:L206)</f>
        <v>14.284499999999996</v>
      </c>
      <c r="M207" s="88" t="s">
        <v>55</v>
      </c>
      <c r="N207" s="65"/>
      <c r="O207" s="65"/>
      <c r="P207" s="65"/>
      <c r="Q207" s="65"/>
      <c r="R207" s="65"/>
      <c r="S207" s="65"/>
      <c r="T207" s="65"/>
      <c r="U207" s="65"/>
      <c r="V207" s="65"/>
      <c r="Y207" s="134" t="s">
        <v>55</v>
      </c>
      <c r="AA207" s="134">
        <f>SUM(AA201:AA206)</f>
        <v>31.101859999999995</v>
      </c>
      <c r="AB207" s="91">
        <f>SUM(AB201:AB206)</f>
        <v>41.476417999999995</v>
      </c>
      <c r="AC207" s="134">
        <f>SUM(AC201:AC206)</f>
        <v>54.526418</v>
      </c>
      <c r="AD207" s="91">
        <f>SUM(AD201:AD206)</f>
        <v>33.711859999999994</v>
      </c>
      <c r="AE207" s="134" t="s">
        <v>55</v>
      </c>
      <c r="AG207" s="91">
        <f>SUM(AG201:AG206)</f>
        <v>29.042919999999995</v>
      </c>
      <c r="AH207" s="91">
        <f>SUM(AH201:AH206)</f>
        <v>38.223796</v>
      </c>
      <c r="AI207" s="91">
        <f>SUM(AI201:AI206)</f>
        <v>58.773796000000004</v>
      </c>
      <c r="AJ207" s="91">
        <f>SUM(AJ201:AJ206)</f>
        <v>36.092919999999999</v>
      </c>
      <c r="AK207" s="88" t="s">
        <v>55</v>
      </c>
      <c r="AL207" s="47">
        <f>SUM(AL206)</f>
        <v>2.4500000000000002</v>
      </c>
      <c r="AM207" s="47">
        <f>SUM(AM206)</f>
        <v>14.014000000000003</v>
      </c>
      <c r="AN207" s="47">
        <f>SUM(AN206)</f>
        <v>18.218200000000003</v>
      </c>
      <c r="AO207" s="47">
        <f>SUM(AO206)</f>
        <v>18.218200000000003</v>
      </c>
      <c r="AP207" s="47">
        <f>SUM(AP206)</f>
        <v>14.014000000000003</v>
      </c>
      <c r="AW207" s="88" t="s">
        <v>55</v>
      </c>
      <c r="AY207" s="43">
        <f>SUM(AY201:AY206)</f>
        <v>31.851859999999995</v>
      </c>
      <c r="AZ207" s="43">
        <f>SUM(AZ201:AZ206)</f>
        <v>42.451417999999997</v>
      </c>
      <c r="BA207" s="43">
        <f>SUM(BA201:BA206)</f>
        <v>55.501417999999994</v>
      </c>
      <c r="BB207" s="43">
        <f>SUM(BB201:BB206)</f>
        <v>34.461859999999994</v>
      </c>
      <c r="BC207" s="88" t="s">
        <v>55</v>
      </c>
      <c r="BE207" s="43">
        <f>SUM(BE201:BE206)</f>
        <v>29.792919999999995</v>
      </c>
      <c r="BF207" s="43">
        <f>SUM(BF201:BF206)</f>
        <v>39.198796000000002</v>
      </c>
      <c r="BG207" s="43">
        <f>SUM(BG201:BG206)</f>
        <v>59.748795999999999</v>
      </c>
      <c r="BH207" s="43">
        <f>SUM(BH201:BH206)</f>
        <v>36.842919999999999</v>
      </c>
      <c r="BI207" s="88" t="s">
        <v>55</v>
      </c>
      <c r="BJ207" s="48">
        <f t="shared" si="63"/>
        <v>2.4500000000000002</v>
      </c>
      <c r="BK207" s="48">
        <f t="shared" si="63"/>
        <v>14.014000000000003</v>
      </c>
      <c r="BL207" s="48">
        <f t="shared" si="63"/>
        <v>18.218200000000003</v>
      </c>
      <c r="BM207" s="48">
        <f t="shared" si="63"/>
        <v>18.218200000000003</v>
      </c>
      <c r="BN207" s="48">
        <f t="shared" si="63"/>
        <v>14.014000000000003</v>
      </c>
      <c r="BU207" s="88" t="s">
        <v>55</v>
      </c>
      <c r="BW207" s="43">
        <f t="shared" ref="BW207:BZ208" si="64">AY207</f>
        <v>31.851859999999995</v>
      </c>
      <c r="BX207" s="43">
        <f t="shared" si="64"/>
        <v>42.451417999999997</v>
      </c>
      <c r="BY207" s="43">
        <f t="shared" si="64"/>
        <v>55.501417999999994</v>
      </c>
      <c r="BZ207" s="43">
        <f t="shared" si="64"/>
        <v>34.461859999999994</v>
      </c>
      <c r="CA207" s="88" t="s">
        <v>55</v>
      </c>
      <c r="CB207" s="47"/>
      <c r="CC207" s="47">
        <f t="shared" ref="CC207:CF208" si="65">BE207</f>
        <v>29.792919999999995</v>
      </c>
      <c r="CD207" s="47">
        <f t="shared" si="65"/>
        <v>39.198796000000002</v>
      </c>
      <c r="CE207" s="47">
        <f t="shared" si="65"/>
        <v>59.748795999999999</v>
      </c>
      <c r="CF207" s="47">
        <f t="shared" si="65"/>
        <v>36.842919999999999</v>
      </c>
      <c r="CG207" s="88" t="s">
        <v>55</v>
      </c>
      <c r="CH207" s="43">
        <f>travi!BJ207</f>
        <v>2.4500000000000002</v>
      </c>
      <c r="CI207" s="43">
        <f>travi!BK207</f>
        <v>14.014000000000003</v>
      </c>
      <c r="CJ207" s="43">
        <f>travi!BL207</f>
        <v>18.218200000000003</v>
      </c>
      <c r="CK207" s="43">
        <f>travi!BM207</f>
        <v>18.218200000000003</v>
      </c>
      <c r="CL207" s="43">
        <f>travi!BN207</f>
        <v>14.014000000000003</v>
      </c>
    </row>
    <row r="208" spans="1:95" x14ac:dyDescent="0.25">
      <c r="C208" s="43">
        <f>C207*$E$199</f>
        <v>34.029599999999995</v>
      </c>
      <c r="D208" s="43">
        <f>D207*$E$199</f>
        <v>44.238479999999988</v>
      </c>
      <c r="E208" s="43">
        <f>E207*$E$199</f>
        <v>65.118479999999991</v>
      </c>
      <c r="F208" s="43">
        <f>F207*$E$199</f>
        <v>38.205599999999997</v>
      </c>
      <c r="I208" s="43">
        <f>I207*$K$199</f>
        <v>27.540449999999996</v>
      </c>
      <c r="J208" s="43">
        <f>J207*$K$199</f>
        <v>35.802585000000001</v>
      </c>
      <c r="K208" s="43">
        <f>K207*$K$199</f>
        <v>48.875084999999991</v>
      </c>
      <c r="L208" s="43">
        <f>L207*$K$199</f>
        <v>29.997449999999994</v>
      </c>
      <c r="AA208" s="134">
        <f>AA207*$AB$199</f>
        <v>49.762975999999995</v>
      </c>
      <c r="AB208" s="91">
        <f>AB207*$AB$199</f>
        <v>66.362268799999995</v>
      </c>
      <c r="AC208" s="134">
        <f>AC207*$AB$199</f>
        <v>87.242268800000005</v>
      </c>
      <c r="AD208" s="91">
        <f>AD207*$AB$199</f>
        <v>53.938975999999997</v>
      </c>
      <c r="AG208" s="91">
        <f>AG207*$AH$199</f>
        <v>60.990131999999996</v>
      </c>
      <c r="AH208" s="91">
        <f>AH207*$AH$199</f>
        <v>80.269971600000005</v>
      </c>
      <c r="AI208" s="91">
        <f>AI207*$AH$199</f>
        <v>123.42497160000002</v>
      </c>
      <c r="AJ208" s="91">
        <f>AJ207*$AH$199</f>
        <v>75.795131999999995</v>
      </c>
      <c r="AY208" s="43">
        <f>AY207*$AZ$199</f>
        <v>50.962975999999998</v>
      </c>
      <c r="AZ208" s="43">
        <f>AZ207*$AZ$199</f>
        <v>67.922268799999998</v>
      </c>
      <c r="BA208" s="43">
        <f>BA207*$AZ$199</f>
        <v>88.802268799999993</v>
      </c>
      <c r="BB208" s="43">
        <f>BB207*$AZ$199</f>
        <v>55.138975999999992</v>
      </c>
      <c r="BE208" s="43">
        <f>BE207*$BF$199</f>
        <v>62.565131999999991</v>
      </c>
      <c r="BF208" s="43">
        <f>BF207*$BF$199</f>
        <v>82.317471600000005</v>
      </c>
      <c r="BG208" s="43">
        <f>BG207*$BF$199</f>
        <v>125.47247160000001</v>
      </c>
      <c r="BH208" s="43">
        <f>BH207*$BF$199</f>
        <v>77.370131999999998</v>
      </c>
      <c r="BW208" s="43">
        <f t="shared" si="64"/>
        <v>50.962975999999998</v>
      </c>
      <c r="BX208" s="43">
        <f t="shared" si="64"/>
        <v>67.922268799999998</v>
      </c>
      <c r="BY208" s="43">
        <f t="shared" si="64"/>
        <v>88.802268799999993</v>
      </c>
      <c r="BZ208" s="43">
        <f t="shared" si="64"/>
        <v>55.138975999999992</v>
      </c>
      <c r="CB208" s="47"/>
      <c r="CC208" s="47">
        <f t="shared" si="65"/>
        <v>62.565131999999991</v>
      </c>
      <c r="CD208" s="47">
        <f t="shared" si="65"/>
        <v>82.317471600000005</v>
      </c>
      <c r="CE208" s="47">
        <f t="shared" si="65"/>
        <v>125.47247160000001</v>
      </c>
      <c r="CF208" s="47">
        <f t="shared" si="65"/>
        <v>77.370131999999998</v>
      </c>
    </row>
    <row r="209" spans="1:95" x14ac:dyDescent="0.25">
      <c r="C209" s="55" t="s">
        <v>129</v>
      </c>
      <c r="D209" s="62" t="s">
        <v>130</v>
      </c>
    </row>
    <row r="210" spans="1:95" x14ac:dyDescent="0.25">
      <c r="B210" s="57" t="s">
        <v>76</v>
      </c>
      <c r="C210" s="43" t="s">
        <v>93</v>
      </c>
      <c r="E210" s="43" t="s">
        <v>249</v>
      </c>
      <c r="H210" s="57" t="s">
        <v>76</v>
      </c>
      <c r="I210" s="43" t="s">
        <v>93</v>
      </c>
      <c r="K210" s="43" t="s">
        <v>250</v>
      </c>
      <c r="P210" s="43" t="s">
        <v>251</v>
      </c>
      <c r="V210" s="43"/>
      <c r="W210" s="43" t="s">
        <v>252</v>
      </c>
      <c r="Y210" s="74"/>
      <c r="AB210" s="64" t="s">
        <v>248</v>
      </c>
      <c r="AC210" s="74"/>
      <c r="AD210" s="43" t="s">
        <v>249</v>
      </c>
      <c r="AE210" s="74"/>
      <c r="AF210" s="43"/>
      <c r="AG210" s="43"/>
      <c r="AH210" s="43"/>
      <c r="AI210" s="43"/>
      <c r="AJ210" s="43" t="s">
        <v>250</v>
      </c>
      <c r="AK210" s="43"/>
      <c r="AL210" s="43"/>
      <c r="AN210" s="43"/>
      <c r="AO210" s="43" t="s">
        <v>251</v>
      </c>
      <c r="AP210" s="43"/>
      <c r="AQ210" s="43"/>
      <c r="AR210" s="43"/>
      <c r="AS210" s="43"/>
      <c r="AT210" s="43"/>
      <c r="AU210" s="43" t="s">
        <v>252</v>
      </c>
      <c r="AW210" s="91"/>
      <c r="AX210" s="91"/>
      <c r="AY210" s="88"/>
      <c r="AZ210" s="64" t="s">
        <v>248</v>
      </c>
      <c r="BB210" s="43" t="s">
        <v>249</v>
      </c>
      <c r="BH210" s="43" t="s">
        <v>250</v>
      </c>
      <c r="BK210" s="91"/>
      <c r="BM210" s="43" t="s">
        <v>251</v>
      </c>
      <c r="BS210" s="43" t="s">
        <v>252</v>
      </c>
      <c r="BT210" s="91"/>
      <c r="BV210" s="91"/>
      <c r="BW210" s="88"/>
      <c r="BX210" s="64" t="s">
        <v>248</v>
      </c>
      <c r="BZ210" s="43" t="s">
        <v>249</v>
      </c>
      <c r="CF210" s="43" t="s">
        <v>250</v>
      </c>
      <c r="CK210" s="43" t="s">
        <v>251</v>
      </c>
      <c r="CQ210" s="43" t="s">
        <v>252</v>
      </c>
    </row>
    <row r="211" spans="1:95" x14ac:dyDescent="0.25">
      <c r="A211" s="88"/>
      <c r="B211" s="66" t="s">
        <v>131</v>
      </c>
      <c r="C211" s="67">
        <v>6</v>
      </c>
      <c r="D211" s="65" t="s">
        <v>51</v>
      </c>
      <c r="E211" s="65">
        <v>2.1</v>
      </c>
      <c r="F211" s="65"/>
      <c r="G211" s="66" t="s">
        <v>131</v>
      </c>
      <c r="I211" s="67">
        <v>6</v>
      </c>
      <c r="J211" s="65" t="s">
        <v>51</v>
      </c>
      <c r="K211" s="91">
        <v>1.3</v>
      </c>
      <c r="L211" s="91"/>
      <c r="M211" s="91"/>
      <c r="N211" s="65"/>
      <c r="O211" s="65"/>
      <c r="P211" s="65"/>
      <c r="Q211" s="67"/>
      <c r="R211" s="65"/>
      <c r="S211" s="91"/>
      <c r="T211" s="91"/>
      <c r="U211" s="91"/>
      <c r="Y211" s="136" t="s">
        <v>131</v>
      </c>
      <c r="AA211" s="140" t="s">
        <v>95</v>
      </c>
      <c r="AB211" s="65" t="s">
        <v>51</v>
      </c>
      <c r="AC211" s="74">
        <v>2.1</v>
      </c>
      <c r="AD211" s="65"/>
      <c r="AE211" s="136" t="s">
        <v>131</v>
      </c>
      <c r="AF211" s="43"/>
      <c r="AG211" s="67" t="s">
        <v>95</v>
      </c>
      <c r="AH211" s="65" t="s">
        <v>51</v>
      </c>
      <c r="AI211" s="91">
        <v>1.3</v>
      </c>
      <c r="AW211" s="88"/>
      <c r="AX211" s="66" t="s">
        <v>131</v>
      </c>
      <c r="AY211" s="67" t="s">
        <v>96</v>
      </c>
      <c r="AZ211" s="65" t="s">
        <v>51</v>
      </c>
      <c r="BA211" s="65">
        <v>2.1</v>
      </c>
      <c r="BB211" s="65"/>
      <c r="BC211" s="66" t="s">
        <v>131</v>
      </c>
      <c r="BE211" s="67">
        <v>6</v>
      </c>
      <c r="BF211" s="65" t="s">
        <v>51</v>
      </c>
      <c r="BG211" s="91">
        <v>1.3</v>
      </c>
      <c r="BH211" s="91"/>
      <c r="BI211" s="91"/>
      <c r="BJ211" s="65"/>
      <c r="BK211" s="65"/>
      <c r="BL211" s="65"/>
      <c r="BM211" s="67"/>
      <c r="BN211" s="65"/>
      <c r="BO211" s="91"/>
      <c r="BP211" s="91"/>
      <c r="BQ211" s="91"/>
      <c r="BR211" s="91"/>
      <c r="BU211" s="88"/>
      <c r="BV211" s="66" t="s">
        <v>131</v>
      </c>
      <c r="BW211" s="67"/>
      <c r="BX211" s="65" t="s">
        <v>51</v>
      </c>
      <c r="BY211" s="65">
        <v>2.1</v>
      </c>
      <c r="BZ211" s="65"/>
      <c r="CA211" s="66" t="s">
        <v>131</v>
      </c>
      <c r="CC211" s="67">
        <v>6</v>
      </c>
      <c r="CD211" s="65" t="s">
        <v>51</v>
      </c>
      <c r="CE211" s="91">
        <v>1.3</v>
      </c>
      <c r="CF211" s="91"/>
      <c r="CG211" s="91"/>
      <c r="CH211" s="65"/>
      <c r="CI211" s="65"/>
      <c r="CJ211" s="65"/>
      <c r="CK211" s="67"/>
      <c r="CL211" s="65"/>
      <c r="CM211" s="91"/>
      <c r="CN211" s="91"/>
      <c r="CO211" s="91"/>
      <c r="CP211" s="91"/>
      <c r="CQ211" s="91"/>
    </row>
    <row r="212" spans="1:95" x14ac:dyDescent="0.25">
      <c r="A212" s="88"/>
      <c r="B212" s="68" t="s">
        <v>51</v>
      </c>
      <c r="C212" s="68" t="s">
        <v>37</v>
      </c>
      <c r="D212" s="68" t="s">
        <v>39</v>
      </c>
      <c r="E212" s="68" t="s">
        <v>92</v>
      </c>
      <c r="F212" s="69" t="s">
        <v>91</v>
      </c>
      <c r="H212" s="68" t="s">
        <v>51</v>
      </c>
      <c r="I212" s="68" t="s">
        <v>37</v>
      </c>
      <c r="J212" s="68" t="s">
        <v>39</v>
      </c>
      <c r="K212" s="68" t="s">
        <v>92</v>
      </c>
      <c r="L212" s="69" t="s">
        <v>91</v>
      </c>
      <c r="M212" s="91"/>
      <c r="N212" s="68" t="s">
        <v>51</v>
      </c>
      <c r="O212" s="68" t="s">
        <v>37</v>
      </c>
      <c r="P212" s="68" t="s">
        <v>39</v>
      </c>
      <c r="Q212" s="68" t="s">
        <v>92</v>
      </c>
      <c r="R212" s="69" t="s">
        <v>91</v>
      </c>
      <c r="S212" s="91"/>
      <c r="T212" s="68" t="s">
        <v>37</v>
      </c>
      <c r="U212" s="68" t="s">
        <v>39</v>
      </c>
      <c r="V212" s="68" t="s">
        <v>92</v>
      </c>
      <c r="W212" s="69" t="s">
        <v>91</v>
      </c>
      <c r="Z212" s="68" t="s">
        <v>51</v>
      </c>
      <c r="AA212" s="137" t="s">
        <v>37</v>
      </c>
      <c r="AB212" s="68" t="s">
        <v>39</v>
      </c>
      <c r="AC212" s="137" t="s">
        <v>92</v>
      </c>
      <c r="AD212" s="69" t="s">
        <v>91</v>
      </c>
      <c r="AF212" s="68" t="s">
        <v>51</v>
      </c>
      <c r="AG212" s="68" t="s">
        <v>37</v>
      </c>
      <c r="AH212" s="68" t="s">
        <v>39</v>
      </c>
      <c r="AI212" s="68" t="s">
        <v>92</v>
      </c>
      <c r="AJ212" s="69" t="s">
        <v>91</v>
      </c>
      <c r="AK212" s="43"/>
      <c r="AL212" s="68" t="s">
        <v>51</v>
      </c>
      <c r="AM212" s="68" t="s">
        <v>37</v>
      </c>
      <c r="AN212" s="68" t="s">
        <v>39</v>
      </c>
      <c r="AO212" s="68" t="s">
        <v>92</v>
      </c>
      <c r="AP212" s="69" t="s">
        <v>91</v>
      </c>
      <c r="AQ212" s="43"/>
      <c r="AR212" s="68" t="s">
        <v>37</v>
      </c>
      <c r="AS212" s="68" t="s">
        <v>39</v>
      </c>
      <c r="AT212" s="68" t="s">
        <v>92</v>
      </c>
      <c r="AU212" s="69" t="s">
        <v>91</v>
      </c>
      <c r="AW212" s="88"/>
      <c r="AX212" s="68" t="s">
        <v>51</v>
      </c>
      <c r="AY212" s="68" t="s">
        <v>37</v>
      </c>
      <c r="AZ212" s="68" t="s">
        <v>39</v>
      </c>
      <c r="BA212" s="68" t="s">
        <v>92</v>
      </c>
      <c r="BB212" s="69" t="s">
        <v>91</v>
      </c>
      <c r="BC212" s="88"/>
      <c r="BD212" s="68" t="s">
        <v>51</v>
      </c>
      <c r="BE212" s="68" t="s">
        <v>37</v>
      </c>
      <c r="BF212" s="68" t="s">
        <v>39</v>
      </c>
      <c r="BG212" s="68" t="s">
        <v>92</v>
      </c>
      <c r="BH212" s="69" t="s">
        <v>91</v>
      </c>
      <c r="BI212" s="88"/>
      <c r="BJ212" s="68" t="s">
        <v>51</v>
      </c>
      <c r="BK212" s="68" t="s">
        <v>37</v>
      </c>
      <c r="BL212" s="68" t="s">
        <v>39</v>
      </c>
      <c r="BM212" s="68" t="s">
        <v>92</v>
      </c>
      <c r="BN212" s="69" t="s">
        <v>91</v>
      </c>
      <c r="BP212" s="68" t="s">
        <v>37</v>
      </c>
      <c r="BQ212" s="68" t="s">
        <v>39</v>
      </c>
      <c r="BR212" s="68" t="s">
        <v>92</v>
      </c>
      <c r="BS212" s="69" t="s">
        <v>91</v>
      </c>
      <c r="BU212" s="88">
        <v>1</v>
      </c>
      <c r="BV212" s="68" t="s">
        <v>51</v>
      </c>
      <c r="BW212" s="68" t="s">
        <v>37</v>
      </c>
      <c r="BX212" s="68" t="s">
        <v>39</v>
      </c>
      <c r="BY212" s="68" t="s">
        <v>92</v>
      </c>
      <c r="BZ212" s="69" t="s">
        <v>91</v>
      </c>
      <c r="CA212" s="65"/>
      <c r="CB212" s="68" t="s">
        <v>51</v>
      </c>
      <c r="CC212" s="68" t="s">
        <v>37</v>
      </c>
      <c r="CD212" s="68" t="s">
        <v>39</v>
      </c>
      <c r="CE212" s="68" t="s">
        <v>92</v>
      </c>
      <c r="CF212" s="69" t="s">
        <v>91</v>
      </c>
      <c r="CH212" s="68" t="s">
        <v>51</v>
      </c>
      <c r="CI212" s="68" t="s">
        <v>37</v>
      </c>
      <c r="CJ212" s="68" t="s">
        <v>39</v>
      </c>
      <c r="CK212" s="68" t="s">
        <v>92</v>
      </c>
      <c r="CL212" s="69" t="s">
        <v>91</v>
      </c>
      <c r="CN212" s="68" t="s">
        <v>37</v>
      </c>
      <c r="CO212" s="68" t="s">
        <v>39</v>
      </c>
      <c r="CP212" s="68" t="s">
        <v>92</v>
      </c>
      <c r="CQ212" s="69" t="s">
        <v>91</v>
      </c>
    </row>
    <row r="213" spans="1:95" x14ac:dyDescent="0.25">
      <c r="A213" s="88" t="s">
        <v>56</v>
      </c>
      <c r="B213" s="65">
        <f>4.5/2</f>
        <v>2.25</v>
      </c>
      <c r="C213" s="65">
        <f>B213*'analisi dei carichi'!E35</f>
        <v>9.4724999999999984</v>
      </c>
      <c r="D213" s="65">
        <f>B213*'analisi dei carichi'!H35</f>
        <v>12.314249999999998</v>
      </c>
      <c r="E213" s="65">
        <f>B213*'analisi dei carichi'!K35</f>
        <v>19.064249999999998</v>
      </c>
      <c r="F213" s="70">
        <f>B213*'analisi dei carichi'!N35</f>
        <v>10.822499999999998</v>
      </c>
      <c r="G213" s="88" t="s">
        <v>56</v>
      </c>
      <c r="H213" s="89">
        <f>(4.5/2)+(4.1/2)</f>
        <v>4.3</v>
      </c>
      <c r="I213" s="47">
        <f>H213*'analisi dei carichi'!E35</f>
        <v>18.102999999999994</v>
      </c>
      <c r="J213" s="89">
        <f>H213*'analisi dei carichi'!H35</f>
        <v>23.533899999999996</v>
      </c>
      <c r="K213" s="89">
        <f>H213*'analisi dei carichi'!K35</f>
        <v>36.433899999999994</v>
      </c>
      <c r="L213" s="89">
        <f>H213*'analisi dei carichi'!N35</f>
        <v>20.682999999999993</v>
      </c>
      <c r="M213" s="88" t="s">
        <v>56</v>
      </c>
      <c r="N213" s="91"/>
      <c r="O213" s="91"/>
      <c r="P213" s="91"/>
      <c r="Q213" s="91"/>
      <c r="R213" s="91"/>
      <c r="S213" s="91"/>
      <c r="T213" s="91">
        <f>(C220+I220)/3.4</f>
        <v>16.931808823529408</v>
      </c>
      <c r="U213" s="91">
        <f>(D220+J220)/3.4</f>
        <v>22.011351470588234</v>
      </c>
      <c r="V213" s="91">
        <f>(E220+K220)/3.4</f>
        <v>31.344439705882351</v>
      </c>
      <c r="W213" s="91">
        <f>(F220+L220)/3.4</f>
        <v>18.752102941176467</v>
      </c>
      <c r="Y213" s="134" t="s">
        <v>56</v>
      </c>
      <c r="Z213" s="47">
        <f>B213</f>
        <v>2.25</v>
      </c>
      <c r="AA213" s="115">
        <f>Z213*'analisi dei carichi'!O28</f>
        <v>11.600099999999999</v>
      </c>
      <c r="AB213" s="89">
        <f>Z213*'analisi dei carichi'!P28</f>
        <v>15.620129999999998</v>
      </c>
      <c r="AC213" s="115">
        <f>Z213*'analisi dei carichi'!K28</f>
        <v>22.37013</v>
      </c>
      <c r="AD213" s="90">
        <f>Z213*'analisi dei carichi'!N28</f>
        <v>12.950099999999999</v>
      </c>
      <c r="AE213" s="134" t="s">
        <v>56</v>
      </c>
      <c r="AF213" s="89">
        <f>H213</f>
        <v>4.3</v>
      </c>
      <c r="AG213" s="89">
        <f>AF213*'analisi dei carichi'!O28</f>
        <v>22.169079999999997</v>
      </c>
      <c r="AH213" s="89">
        <f>AF213*'analisi dei carichi'!P28</f>
        <v>29.851803999999994</v>
      </c>
      <c r="AI213" s="89">
        <f>AF213*'analisi dei carichi'!K28</f>
        <v>42.751804</v>
      </c>
      <c r="AJ213" s="90">
        <f>AF213*'analisi dei carichi'!N28</f>
        <v>24.749079999999996</v>
      </c>
      <c r="AK213" s="88" t="s">
        <v>56</v>
      </c>
      <c r="AL213" s="89"/>
      <c r="AM213" s="89"/>
      <c r="AN213" s="89"/>
      <c r="AO213" s="89"/>
      <c r="AP213" s="90"/>
      <c r="AR213" s="91">
        <f>(AA220+AG220+AM219)/3.4</f>
        <v>33.225621764705885</v>
      </c>
      <c r="AS213" s="91">
        <f>(AB220+AH220+AM219)/3.4</f>
        <v>42.886778882352942</v>
      </c>
      <c r="AT213" s="91">
        <f>(AC220+AI220+AN219)/3.4</f>
        <v>60.805249470588237</v>
      </c>
      <c r="AU213" s="91">
        <f>(AD220+AJ220+AO219)/3.4</f>
        <v>39.193504117647059</v>
      </c>
      <c r="AW213" s="88" t="s">
        <v>56</v>
      </c>
      <c r="AX213" s="47">
        <f t="shared" ref="AX213:BB214" si="66">Z213</f>
        <v>2.25</v>
      </c>
      <c r="AY213" s="47">
        <f t="shared" si="66"/>
        <v>11.600099999999999</v>
      </c>
      <c r="AZ213" s="47">
        <f t="shared" si="66"/>
        <v>15.620129999999998</v>
      </c>
      <c r="BA213" s="47">
        <f t="shared" si="66"/>
        <v>22.37013</v>
      </c>
      <c r="BB213" s="46">
        <f t="shared" si="66"/>
        <v>12.950099999999999</v>
      </c>
      <c r="BC213" s="88" t="s">
        <v>56</v>
      </c>
      <c r="BD213" s="47">
        <f>AF213</f>
        <v>4.3</v>
      </c>
      <c r="BE213" s="47">
        <f>AG213</f>
        <v>22.169079999999997</v>
      </c>
      <c r="BF213" s="47">
        <f>AH213</f>
        <v>29.851803999999994</v>
      </c>
      <c r="BG213" s="47">
        <f>AI213</f>
        <v>42.751804</v>
      </c>
      <c r="BH213" s="46">
        <f>AJ213</f>
        <v>24.749079999999996</v>
      </c>
      <c r="BI213" s="88" t="s">
        <v>56</v>
      </c>
      <c r="BP213" s="43">
        <f>(AY220+BE220+BK219)/3.4</f>
        <v>33.975621764705878</v>
      </c>
      <c r="BQ213" s="43">
        <f>(AZ220+BF220+BL219)/3.4</f>
        <v>44.89642594117646</v>
      </c>
      <c r="BR213" s="43">
        <f>(BA220+BG220+BM219)/3.4</f>
        <v>61.780249470588238</v>
      </c>
      <c r="BS213" s="43">
        <f>(BB220+BH220+BN219)/3.4</f>
        <v>38.908857058823529</v>
      </c>
      <c r="BU213" s="88" t="s">
        <v>56</v>
      </c>
      <c r="BV213" s="43">
        <f t="shared" ref="BV213:CG213" si="67">AX213</f>
        <v>2.25</v>
      </c>
      <c r="BW213" s="43">
        <f t="shared" si="67"/>
        <v>11.600099999999999</v>
      </c>
      <c r="BX213" s="43">
        <f t="shared" si="67"/>
        <v>15.620129999999998</v>
      </c>
      <c r="BY213" s="43">
        <f t="shared" si="67"/>
        <v>22.37013</v>
      </c>
      <c r="BZ213" s="43">
        <f t="shared" si="67"/>
        <v>12.950099999999999</v>
      </c>
      <c r="CA213" s="43" t="str">
        <f t="shared" si="67"/>
        <v>solaio</v>
      </c>
      <c r="CB213" s="43">
        <f t="shared" si="67"/>
        <v>4.3</v>
      </c>
      <c r="CC213" s="43">
        <f t="shared" si="67"/>
        <v>22.169079999999997</v>
      </c>
      <c r="CD213" s="43">
        <f t="shared" si="67"/>
        <v>29.851803999999994</v>
      </c>
      <c r="CE213" s="43">
        <f t="shared" si="67"/>
        <v>42.751804</v>
      </c>
      <c r="CF213" s="43">
        <f t="shared" si="67"/>
        <v>24.749079999999996</v>
      </c>
      <c r="CG213" s="43" t="str">
        <f t="shared" si="67"/>
        <v>solaio</v>
      </c>
      <c r="CN213" s="43">
        <f>BP213</f>
        <v>33.975621764705878</v>
      </c>
      <c r="CO213" s="43">
        <f>BQ213</f>
        <v>44.89642594117646</v>
      </c>
      <c r="CP213" s="43">
        <f>BR213</f>
        <v>61.780249470588238</v>
      </c>
      <c r="CQ213" s="43">
        <f>BS213</f>
        <v>38.908857058823529</v>
      </c>
    </row>
    <row r="214" spans="1:95" x14ac:dyDescent="0.25">
      <c r="A214" s="170" t="s">
        <v>340</v>
      </c>
      <c r="B214" s="65">
        <v>0.5</v>
      </c>
      <c r="C214" s="65">
        <f>B214*'analisi dei carichi'!E38</f>
        <v>1.95</v>
      </c>
      <c r="D214" s="65">
        <f>B214*'analisi dei carichi'!H38</f>
        <v>2.5350000000000001</v>
      </c>
      <c r="E214" s="65">
        <f>B214*'analisi dei carichi'!K38</f>
        <v>2.91</v>
      </c>
      <c r="F214" s="65">
        <f>B214*'analisi dei carichi'!N38</f>
        <v>1.95</v>
      </c>
      <c r="G214" s="170" t="s">
        <v>340</v>
      </c>
      <c r="H214" s="89"/>
      <c r="I214" s="89"/>
      <c r="J214" s="89"/>
      <c r="K214" s="89"/>
      <c r="L214" s="47"/>
      <c r="M214" s="170" t="s">
        <v>340</v>
      </c>
      <c r="N214" s="91"/>
      <c r="O214" s="91"/>
      <c r="P214" s="91"/>
      <c r="Q214" s="91"/>
      <c r="R214" s="91"/>
      <c r="S214" s="91"/>
      <c r="T214" s="91"/>
      <c r="U214" s="91"/>
      <c r="Y214" s="170" t="s">
        <v>340</v>
      </c>
      <c r="Z214" s="47">
        <f>4.2/2</f>
        <v>2.1</v>
      </c>
      <c r="AA214" s="115">
        <f>Z214*'analisi dei carichi'!E32</f>
        <v>8.8409999999999993</v>
      </c>
      <c r="AB214" s="89">
        <f>Z214*'analisi dei carichi'!H32</f>
        <v>11.493299999999998</v>
      </c>
      <c r="AC214" s="115">
        <f>Z214*'analisi dei carichi'!K32</f>
        <v>24.093299999999999</v>
      </c>
      <c r="AD214" s="90">
        <f>Z214*'analisi dei carichi'!N32</f>
        <v>13.881</v>
      </c>
      <c r="AE214" s="170" t="s">
        <v>340</v>
      </c>
      <c r="AF214" s="89"/>
      <c r="AG214" s="89"/>
      <c r="AH214" s="89"/>
      <c r="AI214" s="89"/>
      <c r="AJ214" s="90"/>
      <c r="AK214" s="170" t="s">
        <v>340</v>
      </c>
      <c r="AL214" s="89"/>
      <c r="AM214" s="89"/>
      <c r="AN214" s="89"/>
      <c r="AO214" s="89"/>
      <c r="AP214" s="90"/>
      <c r="AW214" s="170" t="s">
        <v>340</v>
      </c>
      <c r="AX214" s="47">
        <f t="shared" si="66"/>
        <v>2.1</v>
      </c>
      <c r="AY214" s="47">
        <f t="shared" si="66"/>
        <v>8.8409999999999993</v>
      </c>
      <c r="AZ214" s="47">
        <f t="shared" si="66"/>
        <v>11.493299999999998</v>
      </c>
      <c r="BA214" s="47">
        <f t="shared" si="66"/>
        <v>24.093299999999999</v>
      </c>
      <c r="BB214" s="46">
        <f t="shared" si="66"/>
        <v>13.881</v>
      </c>
      <c r="BC214" s="170" t="s">
        <v>340</v>
      </c>
      <c r="BD214" s="47"/>
      <c r="BE214" s="47"/>
      <c r="BF214" s="47"/>
      <c r="BG214" s="47"/>
      <c r="BH214" s="46"/>
      <c r="BI214" s="170" t="s">
        <v>340</v>
      </c>
      <c r="BU214" s="170" t="s">
        <v>340</v>
      </c>
      <c r="BV214" s="43">
        <f>AX214</f>
        <v>2.1</v>
      </c>
      <c r="BW214" s="43">
        <f t="shared" ref="BW214:BW219" si="68">AY214</f>
        <v>8.8409999999999993</v>
      </c>
      <c r="BX214" s="43">
        <f t="shared" ref="BX214:BX219" si="69">AZ214</f>
        <v>11.493299999999998</v>
      </c>
      <c r="BY214" s="43">
        <f t="shared" ref="BY214:BY219" si="70">BA214</f>
        <v>24.093299999999999</v>
      </c>
      <c r="BZ214" s="43">
        <f t="shared" ref="BZ214:BZ220" si="71">BB214</f>
        <v>13.881</v>
      </c>
      <c r="CA214" s="43" t="str">
        <f t="shared" ref="CA214:CA219" si="72">BC214</f>
        <v>terrazzino/corn</v>
      </c>
      <c r="CG214" s="43" t="str">
        <f t="shared" ref="CG214:CG219" si="73">BI214</f>
        <v>terrazzino/corn</v>
      </c>
    </row>
    <row r="215" spans="1:95" x14ac:dyDescent="0.25">
      <c r="A215" s="88" t="s">
        <v>77</v>
      </c>
      <c r="B215" s="65"/>
      <c r="C215" s="65"/>
      <c r="D215" s="65"/>
      <c r="E215" s="65"/>
      <c r="F215" s="70"/>
      <c r="G215" s="88" t="s">
        <v>77</v>
      </c>
      <c r="H215" s="89"/>
      <c r="I215" s="89"/>
      <c r="J215" s="89"/>
      <c r="K215" s="89"/>
      <c r="L215" s="47"/>
      <c r="M215" s="88" t="s">
        <v>77</v>
      </c>
      <c r="N215" s="91"/>
      <c r="O215" s="91"/>
      <c r="P215" s="91"/>
      <c r="Q215" s="91"/>
      <c r="R215" s="91"/>
      <c r="S215" s="91"/>
      <c r="T215" s="91"/>
      <c r="U215" s="91"/>
      <c r="Y215" s="134" t="s">
        <v>77</v>
      </c>
      <c r="Z215" s="47"/>
      <c r="AA215" s="115"/>
      <c r="AB215" s="89"/>
      <c r="AC215" s="115"/>
      <c r="AD215" s="90"/>
      <c r="AE215" s="134" t="s">
        <v>77</v>
      </c>
      <c r="AF215" s="89"/>
      <c r="AG215" s="89"/>
      <c r="AH215" s="89"/>
      <c r="AI215" s="89"/>
      <c r="AJ215" s="90"/>
      <c r="AK215" s="88" t="s">
        <v>77</v>
      </c>
      <c r="AL215" s="89"/>
      <c r="AM215" s="89"/>
      <c r="AN215" s="89"/>
      <c r="AO215" s="89"/>
      <c r="AP215" s="90"/>
      <c r="AW215" s="88" t="s">
        <v>77</v>
      </c>
      <c r="AX215" s="47"/>
      <c r="AY215" s="47"/>
      <c r="AZ215" s="47"/>
      <c r="BA215" s="47"/>
      <c r="BB215" s="46"/>
      <c r="BC215" s="88" t="s">
        <v>77</v>
      </c>
      <c r="BD215" s="47"/>
      <c r="BE215" s="47"/>
      <c r="BF215" s="47"/>
      <c r="BG215" s="47"/>
      <c r="BH215" s="46"/>
      <c r="BI215" s="88" t="s">
        <v>77</v>
      </c>
      <c r="BU215" s="88" t="s">
        <v>77</v>
      </c>
      <c r="BZ215" s="43">
        <f t="shared" si="71"/>
        <v>0</v>
      </c>
      <c r="CA215" s="43" t="str">
        <f t="shared" si="72"/>
        <v>scala</v>
      </c>
      <c r="CG215" s="43" t="str">
        <f t="shared" si="73"/>
        <v>scala</v>
      </c>
    </row>
    <row r="216" spans="1:95" x14ac:dyDescent="0.25">
      <c r="A216" s="88" t="s">
        <v>78</v>
      </c>
      <c r="B216" s="65">
        <v>1</v>
      </c>
      <c r="C216" s="65">
        <f>B216*'analisi dei carichi'!E37</f>
        <v>2.9550000000000001</v>
      </c>
      <c r="D216" s="65">
        <f>B216*'analisi dei carichi'!H37</f>
        <v>3.8415000000000004</v>
      </c>
      <c r="E216" s="65">
        <f>B216*'analisi dei carichi'!K37</f>
        <v>3.8415000000000004</v>
      </c>
      <c r="F216" s="65">
        <f>B216*'analisi dei carichi'!N37</f>
        <v>2.9550000000000001</v>
      </c>
      <c r="G216" s="88" t="s">
        <v>78</v>
      </c>
      <c r="H216" s="89">
        <v>1</v>
      </c>
      <c r="I216" s="89">
        <f>H216*'analisi dei carichi'!E37</f>
        <v>2.9550000000000001</v>
      </c>
      <c r="J216" s="89">
        <f>H216*'analisi dei carichi'!H37</f>
        <v>3.8415000000000004</v>
      </c>
      <c r="K216" s="89">
        <f>'analisi dei carichi'!K37</f>
        <v>3.8415000000000004</v>
      </c>
      <c r="L216" s="47">
        <f>H216*'analisi dei carichi'!N37</f>
        <v>2.9550000000000001</v>
      </c>
      <c r="M216" s="88" t="s">
        <v>78</v>
      </c>
      <c r="N216" s="91"/>
      <c r="O216" s="91"/>
      <c r="P216" s="91"/>
      <c r="Q216" s="91"/>
      <c r="R216" s="91"/>
      <c r="S216" s="91"/>
      <c r="T216" s="91"/>
      <c r="U216" s="91"/>
      <c r="Y216" s="134" t="s">
        <v>78</v>
      </c>
      <c r="Z216" s="47">
        <f>B216</f>
        <v>1</v>
      </c>
      <c r="AA216" s="137">
        <f>C216</f>
        <v>2.9550000000000001</v>
      </c>
      <c r="AB216" s="47">
        <f>D216</f>
        <v>3.8415000000000004</v>
      </c>
      <c r="AC216" s="137">
        <f>E216</f>
        <v>3.8415000000000004</v>
      </c>
      <c r="AD216" s="46">
        <f>F216</f>
        <v>2.9550000000000001</v>
      </c>
      <c r="AE216" s="134" t="s">
        <v>78</v>
      </c>
      <c r="AF216" s="89">
        <f>H216</f>
        <v>1</v>
      </c>
      <c r="AG216" s="47">
        <f>AA216</f>
        <v>2.9550000000000001</v>
      </c>
      <c r="AH216" s="47">
        <f>AB216</f>
        <v>3.8415000000000004</v>
      </c>
      <c r="AI216" s="47">
        <f>AC216</f>
        <v>3.8415000000000004</v>
      </c>
      <c r="AJ216" s="46">
        <f>AD216</f>
        <v>2.9550000000000001</v>
      </c>
      <c r="AK216" s="88" t="s">
        <v>78</v>
      </c>
      <c r="AL216" s="89"/>
      <c r="AM216" s="89"/>
      <c r="AN216" s="89"/>
      <c r="AO216" s="89"/>
      <c r="AP216" s="90"/>
      <c r="AW216" s="88" t="s">
        <v>78</v>
      </c>
      <c r="AX216" s="47">
        <f>Z216</f>
        <v>1</v>
      </c>
      <c r="AY216" s="47">
        <f>AX216*'analisi dei carichi'!E30</f>
        <v>3.7050000000000001</v>
      </c>
      <c r="AZ216" s="47">
        <f>AX216*'analisi dei carichi'!H30</f>
        <v>4.8165000000000004</v>
      </c>
      <c r="BA216" s="47">
        <f>AX216*'analisi dei carichi'!K30</f>
        <v>4.8165000000000004</v>
      </c>
      <c r="BB216" s="46">
        <f>AX216*'analisi dei carichi'!N30</f>
        <v>3.7050000000000001</v>
      </c>
      <c r="BC216" s="88" t="s">
        <v>78</v>
      </c>
      <c r="BD216" s="47">
        <f>AF216</f>
        <v>1</v>
      </c>
      <c r="BE216" s="47">
        <f>AY216</f>
        <v>3.7050000000000001</v>
      </c>
      <c r="BF216" s="47">
        <f>AZ216</f>
        <v>4.8165000000000004</v>
      </c>
      <c r="BG216" s="47">
        <f>BA216</f>
        <v>4.8165000000000004</v>
      </c>
      <c r="BH216" s="46">
        <f>BB216</f>
        <v>3.7050000000000001</v>
      </c>
      <c r="BI216" s="88" t="s">
        <v>78</v>
      </c>
      <c r="BU216" s="88" t="s">
        <v>78</v>
      </c>
      <c r="BV216" s="43">
        <f>AX216</f>
        <v>1</v>
      </c>
      <c r="BW216" s="43">
        <f t="shared" si="68"/>
        <v>3.7050000000000001</v>
      </c>
      <c r="BX216" s="43">
        <f t="shared" si="69"/>
        <v>4.8165000000000004</v>
      </c>
      <c r="BY216" s="43">
        <f t="shared" si="70"/>
        <v>4.8165000000000004</v>
      </c>
      <c r="BZ216" s="43">
        <f t="shared" si="71"/>
        <v>3.7050000000000001</v>
      </c>
      <c r="CA216" s="43" t="str">
        <f t="shared" si="72"/>
        <v>trave emergente</v>
      </c>
      <c r="CB216" s="43">
        <f>BD216</f>
        <v>1</v>
      </c>
      <c r="CC216" s="43">
        <f>BE216</f>
        <v>3.7050000000000001</v>
      </c>
      <c r="CD216" s="43">
        <f>BF216</f>
        <v>4.8165000000000004</v>
      </c>
      <c r="CE216" s="43">
        <f>BG216</f>
        <v>4.8165000000000004</v>
      </c>
      <c r="CF216" s="43">
        <f>BH216</f>
        <v>3.7050000000000001</v>
      </c>
      <c r="CG216" s="43" t="str">
        <f t="shared" si="73"/>
        <v>trave emergente</v>
      </c>
    </row>
    <row r="217" spans="1:95" x14ac:dyDescent="0.25">
      <c r="A217" s="88" t="s">
        <v>79</v>
      </c>
      <c r="B217" s="65"/>
      <c r="C217" s="65"/>
      <c r="D217" s="65"/>
      <c r="E217" s="65"/>
      <c r="F217" s="70"/>
      <c r="G217" s="88" t="s">
        <v>79</v>
      </c>
      <c r="H217" s="89"/>
      <c r="I217" s="89"/>
      <c r="J217" s="89"/>
      <c r="K217" s="89"/>
      <c r="L217" s="47"/>
      <c r="M217" s="88" t="s">
        <v>79</v>
      </c>
      <c r="N217" s="91"/>
      <c r="O217" s="91"/>
      <c r="P217" s="91"/>
      <c r="Q217" s="91"/>
      <c r="R217" s="91"/>
      <c r="S217" s="91"/>
      <c r="T217" s="91"/>
      <c r="U217" s="91"/>
      <c r="Y217" s="134" t="s">
        <v>79</v>
      </c>
      <c r="Z217" s="47"/>
      <c r="AA217" s="115"/>
      <c r="AB217" s="89"/>
      <c r="AC217" s="115"/>
      <c r="AD217" s="90"/>
      <c r="AE217" s="134" t="s">
        <v>79</v>
      </c>
      <c r="AF217" s="89"/>
      <c r="AG217" s="89"/>
      <c r="AH217" s="89"/>
      <c r="AI217" s="89"/>
      <c r="AJ217" s="90"/>
      <c r="AK217" s="88" t="s">
        <v>79</v>
      </c>
      <c r="AL217" s="89"/>
      <c r="AM217" s="89"/>
      <c r="AN217" s="89"/>
      <c r="AO217" s="89"/>
      <c r="AP217" s="90"/>
      <c r="AW217" s="88" t="s">
        <v>79</v>
      </c>
      <c r="AX217" s="47"/>
      <c r="AY217" s="47"/>
      <c r="AZ217" s="47"/>
      <c r="BA217" s="47"/>
      <c r="BB217" s="46"/>
      <c r="BC217" s="88" t="s">
        <v>79</v>
      </c>
      <c r="BD217" s="47"/>
      <c r="BE217" s="47"/>
      <c r="BF217" s="47"/>
      <c r="BG217" s="47"/>
      <c r="BH217" s="46"/>
      <c r="BI217" s="88" t="s">
        <v>79</v>
      </c>
      <c r="BU217" s="88" t="s">
        <v>79</v>
      </c>
      <c r="BZ217" s="43">
        <f t="shared" si="71"/>
        <v>0</v>
      </c>
      <c r="CA217" s="43" t="str">
        <f t="shared" si="72"/>
        <v>trave a spessore</v>
      </c>
      <c r="CG217" s="43" t="str">
        <f t="shared" si="73"/>
        <v>trave a spessore</v>
      </c>
    </row>
    <row r="218" spans="1:95" x14ac:dyDescent="0.25">
      <c r="A218" s="88" t="s">
        <v>80</v>
      </c>
      <c r="B218" s="71"/>
      <c r="C218" s="71"/>
      <c r="D218" s="71"/>
      <c r="E218" s="71"/>
      <c r="F218" s="72"/>
      <c r="G218" s="88" t="s">
        <v>80</v>
      </c>
      <c r="H218" s="98"/>
      <c r="I218" s="98"/>
      <c r="J218" s="98"/>
      <c r="K218" s="98"/>
      <c r="L218" s="48"/>
      <c r="M218" s="88" t="s">
        <v>80</v>
      </c>
      <c r="N218" s="91"/>
      <c r="O218" s="91"/>
      <c r="P218" s="91"/>
      <c r="Q218" s="91"/>
      <c r="R218" s="91"/>
      <c r="S218" s="91"/>
      <c r="T218" s="91"/>
      <c r="U218" s="91"/>
      <c r="Y218" s="134" t="s">
        <v>80</v>
      </c>
      <c r="Z218" s="48">
        <v>1</v>
      </c>
      <c r="AA218" s="141">
        <f>Z218*'analisi dei carichi'!E29</f>
        <v>5.7200000000000006</v>
      </c>
      <c r="AB218" s="98">
        <f>Z218*'analisi dei carichi'!H29</f>
        <v>7.4360000000000008</v>
      </c>
      <c r="AC218" s="141">
        <f>Z218*'analisi dei carichi'!K29</f>
        <v>7.4360000000000008</v>
      </c>
      <c r="AD218" s="99">
        <f>Z218*'analisi dei carichi'!N29</f>
        <v>5.7200000000000006</v>
      </c>
      <c r="AE218" s="134" t="s">
        <v>80</v>
      </c>
      <c r="AF218" s="48">
        <f>Z218</f>
        <v>1</v>
      </c>
      <c r="AG218" s="48">
        <f>AA218</f>
        <v>5.7200000000000006</v>
      </c>
      <c r="AH218" s="48">
        <f>AB218</f>
        <v>7.4360000000000008</v>
      </c>
      <c r="AI218" s="48">
        <f>AC218</f>
        <v>7.4360000000000008</v>
      </c>
      <c r="AJ218" s="49">
        <f>AD218</f>
        <v>5.7200000000000006</v>
      </c>
      <c r="AK218" s="88" t="s">
        <v>80</v>
      </c>
      <c r="AL218" s="98">
        <f>4.1/2</f>
        <v>2.0499999999999998</v>
      </c>
      <c r="AM218" s="98">
        <f>AL218*'analisi dei carichi'!E29</f>
        <v>11.726000000000001</v>
      </c>
      <c r="AN218" s="98">
        <f>AL218*'analisi dei carichi'!H29</f>
        <v>15.2438</v>
      </c>
      <c r="AO218" s="98">
        <f>AL218*'analisi dei carichi'!K29</f>
        <v>15.2438</v>
      </c>
      <c r="AP218" s="99">
        <f>AL218*'analisi dei carichi'!N29</f>
        <v>11.726000000000001</v>
      </c>
      <c r="AW218" s="88" t="s">
        <v>80</v>
      </c>
      <c r="AX218" s="48">
        <f>Z218</f>
        <v>1</v>
      </c>
      <c r="AY218" s="48">
        <f>AA218</f>
        <v>5.7200000000000006</v>
      </c>
      <c r="AZ218" s="48">
        <f>AB218</f>
        <v>7.4360000000000008</v>
      </c>
      <c r="BA218" s="48">
        <f>AC218</f>
        <v>7.4360000000000008</v>
      </c>
      <c r="BB218" s="49">
        <f>AD218</f>
        <v>5.7200000000000006</v>
      </c>
      <c r="BC218" s="88" t="s">
        <v>80</v>
      </c>
      <c r="BD218" s="48">
        <f>AF218</f>
        <v>1</v>
      </c>
      <c r="BE218" s="48">
        <f>AG218</f>
        <v>5.7200000000000006</v>
      </c>
      <c r="BF218" s="48">
        <f>AH218</f>
        <v>7.4360000000000008</v>
      </c>
      <c r="BG218" s="48">
        <f>AI218</f>
        <v>7.4360000000000008</v>
      </c>
      <c r="BH218" s="49">
        <f>AJ218</f>
        <v>5.7200000000000006</v>
      </c>
      <c r="BI218" s="88" t="s">
        <v>80</v>
      </c>
      <c r="BJ218" s="43">
        <f>AL218</f>
        <v>2.0499999999999998</v>
      </c>
      <c r="BK218" s="43">
        <f>AM218</f>
        <v>11.726000000000001</v>
      </c>
      <c r="BL218" s="43">
        <f>AN218</f>
        <v>15.2438</v>
      </c>
      <c r="BM218" s="43">
        <f>AO218</f>
        <v>15.2438</v>
      </c>
      <c r="BN218" s="43">
        <f>AP218</f>
        <v>11.726000000000001</v>
      </c>
      <c r="BU218" s="88" t="s">
        <v>80</v>
      </c>
      <c r="BV218" s="43">
        <f>AX218</f>
        <v>1</v>
      </c>
      <c r="BW218" s="43">
        <f t="shared" si="68"/>
        <v>5.7200000000000006</v>
      </c>
      <c r="BX218" s="43">
        <f t="shared" si="69"/>
        <v>7.4360000000000008</v>
      </c>
      <c r="BY218" s="43">
        <f t="shared" si="70"/>
        <v>7.4360000000000008</v>
      </c>
      <c r="BZ218" s="43">
        <f t="shared" si="71"/>
        <v>5.7200000000000006</v>
      </c>
      <c r="CA218" s="43" t="str">
        <f t="shared" si="72"/>
        <v>tamponatura</v>
      </c>
      <c r="CB218" s="43">
        <f>BD218</f>
        <v>1</v>
      </c>
      <c r="CC218" s="43">
        <f>BE218</f>
        <v>5.7200000000000006</v>
      </c>
      <c r="CD218" s="43">
        <f>BF218</f>
        <v>7.4360000000000008</v>
      </c>
      <c r="CE218" s="43">
        <f>BG218</f>
        <v>7.4360000000000008</v>
      </c>
      <c r="CF218" s="43">
        <f>BH218</f>
        <v>5.7200000000000006</v>
      </c>
      <c r="CG218" s="43" t="str">
        <f t="shared" si="73"/>
        <v>tamponatura</v>
      </c>
      <c r="CH218" s="43">
        <f>BJ218</f>
        <v>2.0499999999999998</v>
      </c>
      <c r="CI218" s="43">
        <f>BK218</f>
        <v>11.726000000000001</v>
      </c>
      <c r="CJ218" s="43">
        <f>BL218</f>
        <v>15.2438</v>
      </c>
      <c r="CK218" s="43">
        <f>BM218</f>
        <v>15.2438</v>
      </c>
      <c r="CL218" s="43">
        <f>BN218</f>
        <v>11.726000000000001</v>
      </c>
    </row>
    <row r="219" spans="1:95" x14ac:dyDescent="0.25">
      <c r="A219" s="88" t="s">
        <v>55</v>
      </c>
      <c r="B219" s="65"/>
      <c r="C219" s="65">
        <f>SUM(C213:C218)</f>
        <v>14.377499999999998</v>
      </c>
      <c r="D219" s="65">
        <f>SUM(D213:D218)</f>
        <v>18.690749999999998</v>
      </c>
      <c r="E219" s="65">
        <f>SUM(E213:E218)</f>
        <v>25.815749999999998</v>
      </c>
      <c r="F219" s="65">
        <f>SUM(F213:F218)</f>
        <v>15.727499999999997</v>
      </c>
      <c r="G219" s="88" t="s">
        <v>55</v>
      </c>
      <c r="H219" s="91"/>
      <c r="I219" s="43">
        <f>SUM(I213:I218)</f>
        <v>21.057999999999993</v>
      </c>
      <c r="J219" s="43">
        <f>SUM(J213:J218)</f>
        <v>27.375399999999996</v>
      </c>
      <c r="K219" s="43">
        <f>SUM(K213:K218)</f>
        <v>40.275399999999998</v>
      </c>
      <c r="L219" s="43">
        <f>SUM(L213:L218)</f>
        <v>23.637999999999991</v>
      </c>
      <c r="M219" s="88" t="s">
        <v>55</v>
      </c>
      <c r="N219" s="91"/>
      <c r="O219" s="91"/>
      <c r="P219" s="91"/>
      <c r="Q219" s="91"/>
      <c r="R219" s="91"/>
      <c r="S219" s="91"/>
      <c r="T219" s="91"/>
      <c r="U219" s="91"/>
      <c r="Y219" s="134" t="s">
        <v>55</v>
      </c>
      <c r="AA219" s="134">
        <f>SUM(AA213:AA218)</f>
        <v>29.116099999999996</v>
      </c>
      <c r="AB219" s="91">
        <f>SUM(AB213:AB218)</f>
        <v>38.390929999999997</v>
      </c>
      <c r="AC219" s="134">
        <f>SUM(AC213:AC218)</f>
        <v>57.740930000000006</v>
      </c>
      <c r="AD219" s="91">
        <f>SUM(AD213:AD218)</f>
        <v>35.506099999999996</v>
      </c>
      <c r="AE219" s="134" t="s">
        <v>55</v>
      </c>
      <c r="AG219" s="91">
        <f>SUM(AG213:AG218)</f>
        <v>30.844079999999998</v>
      </c>
      <c r="AH219" s="91">
        <f>SUM(AH213:AH218)</f>
        <v>41.129303999999998</v>
      </c>
      <c r="AI219" s="91">
        <f>SUM(AI213:AI218)</f>
        <v>54.029304000000003</v>
      </c>
      <c r="AJ219" s="91">
        <f>SUM(AJ213:AJ218)</f>
        <v>33.424079999999996</v>
      </c>
      <c r="AK219" s="88" t="s">
        <v>55</v>
      </c>
      <c r="AM219" s="91">
        <f>SUM(AM213:AM218)</f>
        <v>11.726000000000001</v>
      </c>
      <c r="AN219" s="91">
        <f>SUM(AN213:AN218)</f>
        <v>15.2438</v>
      </c>
      <c r="AO219" s="91">
        <f>SUM(AO213:AO218)</f>
        <v>15.2438</v>
      </c>
      <c r="AP219" s="91">
        <f>SUM(AP213:AP218)</f>
        <v>11.726000000000001</v>
      </c>
      <c r="AW219" s="88" t="s">
        <v>55</v>
      </c>
      <c r="AY219" s="43">
        <f>SUM(AY213:AY218)</f>
        <v>29.866099999999996</v>
      </c>
      <c r="AZ219" s="43">
        <f>SUM(AZ213:AZ218)</f>
        <v>39.365929999999999</v>
      </c>
      <c r="BA219" s="43">
        <f>SUM(BA213:BA218)</f>
        <v>58.71593</v>
      </c>
      <c r="BB219" s="43">
        <f>SUM(BB213:BB218)</f>
        <v>36.256099999999996</v>
      </c>
      <c r="BC219" s="88" t="s">
        <v>55</v>
      </c>
      <c r="BE219" s="43">
        <f>SUM(BE213:BE218)</f>
        <v>31.594079999999998</v>
      </c>
      <c r="BF219" s="43">
        <f>SUM(BF213:BF218)</f>
        <v>42.104303999999992</v>
      </c>
      <c r="BG219" s="43">
        <f>SUM(BG213:BG218)</f>
        <v>55.004303999999998</v>
      </c>
      <c r="BH219" s="43">
        <f>SUM(BH213:BH218)</f>
        <v>34.174079999999996</v>
      </c>
      <c r="BI219" s="88" t="s">
        <v>55</v>
      </c>
      <c r="BK219" s="43">
        <f>AM219</f>
        <v>11.726000000000001</v>
      </c>
      <c r="BL219" s="43">
        <f>AN219</f>
        <v>15.2438</v>
      </c>
      <c r="BM219" s="43">
        <f>AO219</f>
        <v>15.2438</v>
      </c>
      <c r="BN219" s="43">
        <f>AP219</f>
        <v>11.726000000000001</v>
      </c>
      <c r="BU219" s="88" t="s">
        <v>55</v>
      </c>
      <c r="BW219" s="43">
        <f t="shared" si="68"/>
        <v>29.866099999999996</v>
      </c>
      <c r="BX219" s="43">
        <f t="shared" si="69"/>
        <v>39.365929999999999</v>
      </c>
      <c r="BY219" s="43">
        <f t="shared" si="70"/>
        <v>58.71593</v>
      </c>
      <c r="BZ219" s="43">
        <f t="shared" si="71"/>
        <v>36.256099999999996</v>
      </c>
      <c r="CA219" s="43" t="str">
        <f t="shared" si="72"/>
        <v>totale</v>
      </c>
      <c r="CC219" s="43">
        <f t="shared" ref="CC219:CF220" si="74">BE219</f>
        <v>31.594079999999998</v>
      </c>
      <c r="CD219" s="43">
        <f t="shared" si="74"/>
        <v>42.104303999999992</v>
      </c>
      <c r="CE219" s="43">
        <f t="shared" si="74"/>
        <v>55.004303999999998</v>
      </c>
      <c r="CF219" s="43">
        <f t="shared" si="74"/>
        <v>34.174079999999996</v>
      </c>
      <c r="CG219" s="43" t="str">
        <f t="shared" si="73"/>
        <v>totale</v>
      </c>
      <c r="CI219" s="43">
        <f>BK219</f>
        <v>11.726000000000001</v>
      </c>
      <c r="CJ219" s="43">
        <f>BL219</f>
        <v>15.2438</v>
      </c>
      <c r="CK219" s="43">
        <f>BM219</f>
        <v>15.2438</v>
      </c>
      <c r="CL219" s="43">
        <f>BN219</f>
        <v>11.726000000000001</v>
      </c>
    </row>
    <row r="220" spans="1:95" x14ac:dyDescent="0.25">
      <c r="C220" s="43">
        <f>C219*$E$211</f>
        <v>30.192749999999997</v>
      </c>
      <c r="D220" s="43">
        <f>D219*$E$211</f>
        <v>39.250574999999998</v>
      </c>
      <c r="E220" s="43">
        <f>E219*$E$211</f>
        <v>54.213074999999996</v>
      </c>
      <c r="F220" s="43">
        <f>F219*$E$211</f>
        <v>33.027749999999997</v>
      </c>
      <c r="I220" s="43">
        <f>I219*$K$211</f>
        <v>27.375399999999992</v>
      </c>
      <c r="J220" s="43">
        <f>J219*$K$211</f>
        <v>35.588019999999993</v>
      </c>
      <c r="K220" s="43">
        <f>K219*$K$211</f>
        <v>52.358019999999996</v>
      </c>
      <c r="L220" s="43">
        <f>L219*$K$211</f>
        <v>30.729399999999988</v>
      </c>
      <c r="AA220" s="134">
        <f>AA219*$AC$211</f>
        <v>61.143809999999995</v>
      </c>
      <c r="AB220" s="91">
        <f>AB219*$AC$211</f>
        <v>80.620953</v>
      </c>
      <c r="AC220" s="134">
        <f>AC219*$AC$211</f>
        <v>121.25595300000002</v>
      </c>
      <c r="AD220" s="91">
        <f>AD219*$AC$211</f>
        <v>74.562809999999999</v>
      </c>
      <c r="AG220" s="91">
        <f>AG219*$AI$211</f>
        <v>40.097304000000001</v>
      </c>
      <c r="AH220" s="91">
        <f>AH219*$AI$211</f>
        <v>53.4680952</v>
      </c>
      <c r="AI220" s="91">
        <f>AI219*$AI$211</f>
        <v>70.238095200000004</v>
      </c>
      <c r="AJ220" s="91">
        <f>AJ219*$AI$211</f>
        <v>43.451304</v>
      </c>
      <c r="AY220" s="43">
        <f>AY219*$BA$211</f>
        <v>62.718809999999991</v>
      </c>
      <c r="AZ220" s="43">
        <f>AZ219*$BA$211</f>
        <v>82.668453</v>
      </c>
      <c r="BA220" s="43">
        <f>BA219*$BA$211</f>
        <v>123.303453</v>
      </c>
      <c r="BB220" s="43">
        <f>BB219*$BA$211</f>
        <v>76.137810000000002</v>
      </c>
      <c r="BE220" s="43">
        <f>BE219*$BG$211</f>
        <v>41.072303999999995</v>
      </c>
      <c r="BF220" s="43">
        <f>BF219*$BG$211</f>
        <v>54.735595199999992</v>
      </c>
      <c r="BG220" s="43">
        <f>BG219*$BG$211</f>
        <v>71.505595200000002</v>
      </c>
      <c r="BH220" s="43">
        <f>BH219*$BG$211</f>
        <v>44.426303999999995</v>
      </c>
      <c r="BW220" s="43">
        <f>AY220</f>
        <v>62.718809999999991</v>
      </c>
      <c r="BX220" s="43">
        <f>AZ220</f>
        <v>82.668453</v>
      </c>
      <c r="BY220" s="43">
        <f>BA220</f>
        <v>123.303453</v>
      </c>
      <c r="BZ220" s="43">
        <f t="shared" si="71"/>
        <v>76.137810000000002</v>
      </c>
      <c r="CC220" s="43">
        <f t="shared" si="74"/>
        <v>41.072303999999995</v>
      </c>
      <c r="CD220" s="43">
        <f t="shared" si="74"/>
        <v>54.735595199999992</v>
      </c>
      <c r="CE220" s="43">
        <f t="shared" si="74"/>
        <v>71.505595200000002</v>
      </c>
      <c r="CF220" s="43">
        <f t="shared" si="74"/>
        <v>44.426303999999995</v>
      </c>
    </row>
    <row r="221" spans="1:95" x14ac:dyDescent="0.25">
      <c r="B221" s="57" t="s">
        <v>76</v>
      </c>
      <c r="C221" s="43" t="s">
        <v>93</v>
      </c>
      <c r="H221" s="43" t="s">
        <v>93</v>
      </c>
      <c r="L221" s="43" t="s">
        <v>93</v>
      </c>
      <c r="Q221" s="43" t="s">
        <v>93</v>
      </c>
    </row>
    <row r="222" spans="1:95" x14ac:dyDescent="0.25">
      <c r="B222" s="50" t="s">
        <v>132</v>
      </c>
      <c r="C222" s="44">
        <v>6</v>
      </c>
      <c r="H222" s="43" t="s">
        <v>95</v>
      </c>
      <c r="L222" s="43" t="s">
        <v>96</v>
      </c>
      <c r="Q222" s="44">
        <v>1</v>
      </c>
    </row>
    <row r="223" spans="1:95" x14ac:dyDescent="0.25">
      <c r="B223" s="47" t="s">
        <v>51</v>
      </c>
      <c r="C223" s="47" t="s">
        <v>37</v>
      </c>
      <c r="D223" s="47" t="s">
        <v>39</v>
      </c>
      <c r="E223" s="47" t="s">
        <v>92</v>
      </c>
      <c r="F223" s="58" t="s">
        <v>91</v>
      </c>
      <c r="G223" s="47" t="s">
        <v>51</v>
      </c>
      <c r="H223" s="47" t="s">
        <v>37</v>
      </c>
      <c r="I223" s="47" t="s">
        <v>39</v>
      </c>
      <c r="J223" s="47" t="s">
        <v>92</v>
      </c>
      <c r="K223" s="58" t="s">
        <v>91</v>
      </c>
      <c r="L223" s="47" t="s">
        <v>51</v>
      </c>
      <c r="M223" s="47" t="s">
        <v>37</v>
      </c>
      <c r="N223" s="47" t="s">
        <v>39</v>
      </c>
      <c r="O223" s="47" t="s">
        <v>92</v>
      </c>
      <c r="P223" s="58" t="s">
        <v>91</v>
      </c>
      <c r="Q223" s="47" t="s">
        <v>51</v>
      </c>
      <c r="R223" s="47" t="s">
        <v>37</v>
      </c>
      <c r="S223" s="47" t="s">
        <v>39</v>
      </c>
      <c r="T223" s="47" t="s">
        <v>92</v>
      </c>
      <c r="U223" s="58" t="s">
        <v>91</v>
      </c>
    </row>
    <row r="224" spans="1:95" x14ac:dyDescent="0.25">
      <c r="A224" s="91" t="s">
        <v>56</v>
      </c>
      <c r="B224" s="43">
        <f>(4.85/2)+1.1*(4.1/2)</f>
        <v>4.68</v>
      </c>
      <c r="C224" s="43">
        <f>B224*'analisi dei carichi'!E35</f>
        <v>19.702799999999993</v>
      </c>
      <c r="D224" s="43">
        <f>B224*'analisi dei carichi'!H35</f>
        <v>25.613639999999993</v>
      </c>
      <c r="E224" s="43">
        <f>B224*'analisi dei carichi'!K35</f>
        <v>39.653639999999996</v>
      </c>
      <c r="F224" s="46">
        <f>B224*'analisi dei carichi'!N35</f>
        <v>22.510799999999993</v>
      </c>
      <c r="G224" s="43">
        <f>B224</f>
        <v>4.68</v>
      </c>
      <c r="H224" s="43">
        <f>'analisi dei carichi'!O28*G224</f>
        <v>24.128207999999997</v>
      </c>
      <c r="I224" s="43">
        <f>G224*'analisi dei carichi'!P28</f>
        <v>32.489870399999994</v>
      </c>
      <c r="J224" s="43">
        <f>G224*'analisi dei carichi'!K28</f>
        <v>46.5298704</v>
      </c>
      <c r="K224" s="46">
        <f>G224*'analisi dei carichi'!N28</f>
        <v>26.936207999999997</v>
      </c>
      <c r="L224" s="43">
        <f>G224</f>
        <v>4.68</v>
      </c>
      <c r="M224" s="43">
        <f t="shared" ref="M224:U224" si="75">H224</f>
        <v>24.128207999999997</v>
      </c>
      <c r="N224" s="43">
        <f t="shared" si="75"/>
        <v>32.489870399999994</v>
      </c>
      <c r="O224" s="43">
        <f t="shared" si="75"/>
        <v>46.5298704</v>
      </c>
      <c r="P224" s="43">
        <f t="shared" si="75"/>
        <v>26.936207999999997</v>
      </c>
      <c r="Q224" s="43">
        <f t="shared" si="75"/>
        <v>4.68</v>
      </c>
      <c r="R224" s="43">
        <f t="shared" si="75"/>
        <v>24.128207999999997</v>
      </c>
      <c r="S224" s="43">
        <f t="shared" si="75"/>
        <v>32.489870399999994</v>
      </c>
      <c r="T224" s="43">
        <f t="shared" si="75"/>
        <v>46.5298704</v>
      </c>
      <c r="U224" s="43">
        <f t="shared" si="75"/>
        <v>26.936207999999997</v>
      </c>
    </row>
    <row r="225" spans="1:95" x14ac:dyDescent="0.25">
      <c r="A225" s="170" t="s">
        <v>340</v>
      </c>
      <c r="F225" s="46"/>
      <c r="K225" s="46"/>
      <c r="P225" s="46"/>
      <c r="U225" s="46"/>
    </row>
    <row r="226" spans="1:95" x14ac:dyDescent="0.25">
      <c r="A226" s="91" t="s">
        <v>77</v>
      </c>
      <c r="F226" s="46"/>
      <c r="K226" s="46"/>
      <c r="P226" s="46"/>
      <c r="U226" s="46"/>
    </row>
    <row r="227" spans="1:95" x14ac:dyDescent="0.25">
      <c r="A227" s="91" t="s">
        <v>78</v>
      </c>
      <c r="B227" s="43">
        <f>B216</f>
        <v>1</v>
      </c>
      <c r="C227" s="43">
        <f>C216</f>
        <v>2.9550000000000001</v>
      </c>
      <c r="D227" s="43">
        <f>D216</f>
        <v>3.8415000000000004</v>
      </c>
      <c r="E227" s="43">
        <f>E216</f>
        <v>3.8415000000000004</v>
      </c>
      <c r="F227" s="43">
        <f>F216</f>
        <v>2.9550000000000001</v>
      </c>
      <c r="G227" s="43">
        <f t="shared" ref="G227:L227" si="76">B227</f>
        <v>1</v>
      </c>
      <c r="H227" s="43">
        <f t="shared" si="76"/>
        <v>2.9550000000000001</v>
      </c>
      <c r="I227" s="43">
        <f t="shared" si="76"/>
        <v>3.8415000000000004</v>
      </c>
      <c r="J227" s="43">
        <f t="shared" si="76"/>
        <v>3.8415000000000004</v>
      </c>
      <c r="K227" s="43">
        <f t="shared" si="76"/>
        <v>2.9550000000000001</v>
      </c>
      <c r="L227" s="43">
        <f t="shared" si="76"/>
        <v>1</v>
      </c>
      <c r="M227" s="43">
        <f>L227*'analisi dei carichi'!E30</f>
        <v>3.7050000000000001</v>
      </c>
      <c r="N227" s="43">
        <f>L227*'analisi dei carichi'!H30</f>
        <v>4.8165000000000004</v>
      </c>
      <c r="O227" s="43">
        <f>L227*'analisi dei carichi'!K30</f>
        <v>4.8165000000000004</v>
      </c>
      <c r="P227" s="43">
        <f>L227*'analisi dei carichi'!N30</f>
        <v>3.7050000000000001</v>
      </c>
      <c r="Q227" s="43">
        <f>L227</f>
        <v>1</v>
      </c>
      <c r="R227" s="43">
        <f>M227</f>
        <v>3.7050000000000001</v>
      </c>
      <c r="S227" s="43">
        <f>N227</f>
        <v>4.8165000000000004</v>
      </c>
      <c r="T227" s="43">
        <f>O227</f>
        <v>4.8165000000000004</v>
      </c>
      <c r="U227" s="43">
        <f>P227</f>
        <v>3.7050000000000001</v>
      </c>
    </row>
    <row r="228" spans="1:95" x14ac:dyDescent="0.25">
      <c r="A228" s="91" t="s">
        <v>79</v>
      </c>
      <c r="F228" s="46"/>
      <c r="K228" s="46"/>
      <c r="P228" s="46"/>
      <c r="U228" s="46"/>
    </row>
    <row r="229" spans="1:95" x14ac:dyDescent="0.25">
      <c r="A229" s="91" t="s">
        <v>80</v>
      </c>
      <c r="B229" s="48"/>
      <c r="C229" s="48"/>
      <c r="D229" s="48"/>
      <c r="E229" s="48"/>
      <c r="F229" s="49"/>
      <c r="G229" s="48"/>
      <c r="H229" s="48"/>
      <c r="I229" s="48"/>
      <c r="J229" s="48"/>
      <c r="K229" s="49"/>
      <c r="L229" s="48"/>
      <c r="M229" s="48"/>
      <c r="N229" s="48"/>
      <c r="O229" s="48"/>
      <c r="P229" s="49"/>
      <c r="Q229" s="48"/>
      <c r="R229" s="48"/>
      <c r="S229" s="48"/>
      <c r="T229" s="48"/>
      <c r="U229" s="49"/>
    </row>
    <row r="230" spans="1:95" x14ac:dyDescent="0.25">
      <c r="A230" s="91" t="s">
        <v>55</v>
      </c>
      <c r="C230" s="43">
        <f>SUM(C224:C229)</f>
        <v>22.657799999999995</v>
      </c>
      <c r="D230" s="43">
        <f>SUM(D224:D229)</f>
        <v>29.455139999999993</v>
      </c>
      <c r="E230" s="43">
        <f>SUM(E224:E229)</f>
        <v>43.495139999999999</v>
      </c>
      <c r="F230" s="43">
        <f>SUM(F224:F229)</f>
        <v>25.465799999999994</v>
      </c>
      <c r="H230" s="43">
        <f>SUM(H224:H229)</f>
        <v>27.083207999999999</v>
      </c>
      <c r="I230" s="43">
        <f>SUM(I224:I229)</f>
        <v>36.331370399999997</v>
      </c>
      <c r="J230" s="43">
        <f>SUM(J224:J229)</f>
        <v>50.371370400000004</v>
      </c>
      <c r="K230" s="43">
        <f>SUM(K224:K229)</f>
        <v>29.891207999999999</v>
      </c>
      <c r="M230" s="43">
        <f>SUM(M224:M229)</f>
        <v>27.833207999999999</v>
      </c>
      <c r="N230" s="43">
        <f>SUM(N224:N229)</f>
        <v>37.306370399999992</v>
      </c>
      <c r="O230" s="43">
        <f>SUM(O224:O229)</f>
        <v>51.346370399999998</v>
      </c>
      <c r="P230" s="43">
        <f>SUM(P224:P229)</f>
        <v>30.641207999999999</v>
      </c>
      <c r="R230" s="43">
        <f>SUM(R224:R229)</f>
        <v>27.833207999999999</v>
      </c>
      <c r="S230" s="43">
        <f>SUM(S224:S229)</f>
        <v>37.306370399999992</v>
      </c>
      <c r="T230" s="43">
        <f>SUM(T224:T229)</f>
        <v>51.346370399999998</v>
      </c>
      <c r="U230" s="43">
        <f>SUM(U224:U229)</f>
        <v>30.641207999999999</v>
      </c>
    </row>
    <row r="232" spans="1:95" x14ac:dyDescent="0.25">
      <c r="B232" s="57" t="s">
        <v>76</v>
      </c>
      <c r="C232" s="43" t="s">
        <v>93</v>
      </c>
      <c r="E232" s="43" t="s">
        <v>249</v>
      </c>
      <c r="H232" s="57" t="s">
        <v>76</v>
      </c>
      <c r="I232" s="43" t="s">
        <v>93</v>
      </c>
      <c r="K232" s="43" t="s">
        <v>250</v>
      </c>
      <c r="P232" s="43" t="s">
        <v>251</v>
      </c>
      <c r="U232" s="43" t="s">
        <v>252</v>
      </c>
      <c r="V232" s="43"/>
      <c r="Y232" s="74"/>
      <c r="AB232" s="64" t="s">
        <v>248</v>
      </c>
      <c r="AC232" s="74"/>
      <c r="AD232" s="43" t="s">
        <v>249</v>
      </c>
      <c r="AE232" s="74"/>
      <c r="AF232" s="43"/>
      <c r="AG232" s="43"/>
      <c r="AH232" s="43"/>
      <c r="AI232" s="43"/>
      <c r="AJ232" s="43" t="s">
        <v>250</v>
      </c>
      <c r="AK232" s="43"/>
      <c r="AL232" s="43"/>
      <c r="AN232" s="43"/>
      <c r="AO232" s="43" t="s">
        <v>251</v>
      </c>
      <c r="AP232" s="43"/>
      <c r="AQ232" s="43"/>
      <c r="AR232" s="43"/>
      <c r="AS232" s="43"/>
      <c r="AT232" s="43" t="s">
        <v>252</v>
      </c>
      <c r="AW232" s="91"/>
      <c r="AX232" s="91"/>
      <c r="AY232" s="88"/>
      <c r="AZ232" s="64" t="s">
        <v>248</v>
      </c>
      <c r="BB232" s="43" t="s">
        <v>249</v>
      </c>
      <c r="BH232" s="43" t="s">
        <v>250</v>
      </c>
      <c r="BK232" s="91"/>
      <c r="BM232" s="43" t="s">
        <v>251</v>
      </c>
      <c r="BS232" s="43" t="s">
        <v>252</v>
      </c>
      <c r="BT232" s="91"/>
      <c r="BV232" s="91"/>
      <c r="BW232" s="88"/>
      <c r="BX232" s="64" t="s">
        <v>248</v>
      </c>
      <c r="BZ232" s="43" t="s">
        <v>249</v>
      </c>
      <c r="CF232" s="43" t="s">
        <v>250</v>
      </c>
      <c r="CK232" s="43" t="s">
        <v>251</v>
      </c>
      <c r="CQ232" s="43" t="s">
        <v>252</v>
      </c>
    </row>
    <row r="233" spans="1:95" x14ac:dyDescent="0.25">
      <c r="A233" s="88"/>
      <c r="B233" s="66" t="s">
        <v>133</v>
      </c>
      <c r="C233" s="67">
        <v>6</v>
      </c>
      <c r="D233" s="65" t="s">
        <v>51</v>
      </c>
      <c r="E233" s="65">
        <v>1.6</v>
      </c>
      <c r="F233" s="65"/>
      <c r="G233" s="66" t="s">
        <v>133</v>
      </c>
      <c r="I233" s="67">
        <v>6</v>
      </c>
      <c r="J233" s="65" t="s">
        <v>51</v>
      </c>
      <c r="K233" s="65">
        <v>2.1</v>
      </c>
      <c r="L233" s="65"/>
      <c r="M233" s="91"/>
      <c r="N233" s="65"/>
      <c r="O233" s="65"/>
      <c r="P233" s="65"/>
      <c r="Q233" s="67"/>
      <c r="R233" s="65"/>
      <c r="S233" s="65"/>
      <c r="T233" s="65"/>
      <c r="U233" s="65"/>
      <c r="Z233" s="67" t="s">
        <v>95</v>
      </c>
      <c r="AA233" s="74" t="s">
        <v>51</v>
      </c>
      <c r="AB233" s="65">
        <v>1.6</v>
      </c>
      <c r="AC233" s="74"/>
      <c r="AD233" s="66"/>
      <c r="AE233" s="74"/>
      <c r="AF233" s="67" t="s">
        <v>95</v>
      </c>
      <c r="AG233" s="65" t="s">
        <v>51</v>
      </c>
      <c r="AH233" s="65">
        <v>2.1</v>
      </c>
      <c r="AI233" s="65"/>
      <c r="AK233" s="65"/>
      <c r="AL233" s="65"/>
      <c r="AM233" s="65"/>
      <c r="AN233" s="67"/>
      <c r="AO233" s="65"/>
      <c r="AP233" s="65"/>
      <c r="AQ233" s="65"/>
      <c r="AR233" s="65"/>
      <c r="BA233" s="65" t="s">
        <v>51</v>
      </c>
      <c r="BB233" s="65">
        <v>1.6</v>
      </c>
      <c r="BC233" s="65"/>
      <c r="BD233" s="66" t="s">
        <v>133</v>
      </c>
      <c r="BF233" s="67"/>
      <c r="BG233" s="65" t="s">
        <v>51</v>
      </c>
      <c r="BH233" s="65">
        <v>2.1</v>
      </c>
      <c r="BI233" s="65"/>
      <c r="BW233" s="65" t="s">
        <v>51</v>
      </c>
      <c r="BX233" s="65">
        <v>1.6</v>
      </c>
      <c r="BY233" s="65"/>
      <c r="CA233" s="66" t="s">
        <v>133</v>
      </c>
      <c r="CB233" s="67"/>
      <c r="CC233" s="65" t="s">
        <v>51</v>
      </c>
      <c r="CD233" s="65">
        <v>2.1</v>
      </c>
      <c r="CE233" s="65"/>
    </row>
    <row r="234" spans="1:95" x14ac:dyDescent="0.25">
      <c r="A234" s="88"/>
      <c r="B234" s="68" t="s">
        <v>51</v>
      </c>
      <c r="C234" s="68" t="s">
        <v>37</v>
      </c>
      <c r="D234" s="68" t="s">
        <v>39</v>
      </c>
      <c r="E234" s="68" t="s">
        <v>92</v>
      </c>
      <c r="F234" s="69" t="s">
        <v>91</v>
      </c>
      <c r="H234" s="68" t="s">
        <v>51</v>
      </c>
      <c r="I234" s="68" t="s">
        <v>37</v>
      </c>
      <c r="J234" s="68" t="s">
        <v>39</v>
      </c>
      <c r="K234" s="68" t="s">
        <v>92</v>
      </c>
      <c r="L234" s="69" t="s">
        <v>91</v>
      </c>
      <c r="M234" s="91"/>
      <c r="N234" s="68" t="s">
        <v>51</v>
      </c>
      <c r="O234" s="68" t="s">
        <v>37</v>
      </c>
      <c r="P234" s="68" t="s">
        <v>39</v>
      </c>
      <c r="Q234" s="68" t="s">
        <v>92</v>
      </c>
      <c r="R234" s="69" t="s">
        <v>91</v>
      </c>
      <c r="S234" s="91"/>
      <c r="T234" s="68" t="s">
        <v>37</v>
      </c>
      <c r="U234" s="68" t="s">
        <v>39</v>
      </c>
      <c r="V234" s="68" t="s">
        <v>92</v>
      </c>
      <c r="W234" s="69" t="s">
        <v>91</v>
      </c>
      <c r="Z234" s="68" t="s">
        <v>51</v>
      </c>
      <c r="AA234" s="137" t="s">
        <v>37</v>
      </c>
      <c r="AB234" s="68" t="s">
        <v>39</v>
      </c>
      <c r="AC234" s="137" t="s">
        <v>92</v>
      </c>
      <c r="AD234" s="69" t="s">
        <v>91</v>
      </c>
      <c r="AF234" s="68" t="s">
        <v>51</v>
      </c>
      <c r="AG234" s="68" t="s">
        <v>37</v>
      </c>
      <c r="AH234" s="68" t="s">
        <v>39</v>
      </c>
      <c r="AI234" s="68" t="s">
        <v>92</v>
      </c>
      <c r="AJ234" s="69" t="s">
        <v>91</v>
      </c>
      <c r="AK234" s="43"/>
      <c r="AL234" s="68" t="s">
        <v>51</v>
      </c>
      <c r="AM234" s="68" t="s">
        <v>37</v>
      </c>
      <c r="AN234" s="68" t="s">
        <v>39</v>
      </c>
      <c r="AO234" s="68" t="s">
        <v>92</v>
      </c>
      <c r="AP234" s="69" t="s">
        <v>91</v>
      </c>
      <c r="AQ234" s="43"/>
      <c r="AR234" s="68" t="s">
        <v>37</v>
      </c>
      <c r="AS234" s="68" t="s">
        <v>39</v>
      </c>
      <c r="AT234" s="68" t="s">
        <v>92</v>
      </c>
      <c r="AU234" s="69" t="s">
        <v>91</v>
      </c>
      <c r="AW234" s="67" t="s">
        <v>96</v>
      </c>
      <c r="AX234" s="68" t="s">
        <v>51</v>
      </c>
      <c r="AY234" s="68" t="s">
        <v>37</v>
      </c>
      <c r="AZ234" s="68" t="s">
        <v>39</v>
      </c>
      <c r="BA234" s="68" t="s">
        <v>92</v>
      </c>
      <c r="BB234" s="69" t="s">
        <v>91</v>
      </c>
      <c r="BC234" s="88"/>
      <c r="BD234" s="68" t="s">
        <v>51</v>
      </c>
      <c r="BE234" s="68" t="s">
        <v>37</v>
      </c>
      <c r="BF234" s="68" t="s">
        <v>39</v>
      </c>
      <c r="BG234" s="68" t="s">
        <v>92</v>
      </c>
      <c r="BH234" s="69" t="s">
        <v>91</v>
      </c>
      <c r="BI234" s="88"/>
      <c r="BJ234" s="68" t="s">
        <v>51</v>
      </c>
      <c r="BK234" s="68" t="s">
        <v>37</v>
      </c>
      <c r="BL234" s="68" t="s">
        <v>39</v>
      </c>
      <c r="BM234" s="68" t="s">
        <v>92</v>
      </c>
      <c r="BN234" s="69" t="s">
        <v>91</v>
      </c>
      <c r="BP234" s="68" t="s">
        <v>37</v>
      </c>
      <c r="BQ234" s="68" t="s">
        <v>39</v>
      </c>
      <c r="BR234" s="68" t="s">
        <v>92</v>
      </c>
      <c r="BS234" s="69" t="s">
        <v>91</v>
      </c>
      <c r="BU234" s="88">
        <v>1</v>
      </c>
      <c r="BV234" s="68" t="s">
        <v>51</v>
      </c>
      <c r="BW234" s="68" t="s">
        <v>37</v>
      </c>
      <c r="BX234" s="68" t="s">
        <v>39</v>
      </c>
      <c r="BY234" s="68" t="s">
        <v>92</v>
      </c>
      <c r="BZ234" s="69" t="s">
        <v>91</v>
      </c>
      <c r="CA234" s="65"/>
      <c r="CB234" s="68" t="s">
        <v>51</v>
      </c>
      <c r="CC234" s="68" t="s">
        <v>37</v>
      </c>
      <c r="CD234" s="68" t="s">
        <v>39</v>
      </c>
      <c r="CE234" s="68" t="s">
        <v>92</v>
      </c>
      <c r="CF234" s="69" t="s">
        <v>91</v>
      </c>
      <c r="CH234" s="68" t="s">
        <v>51</v>
      </c>
      <c r="CI234" s="68" t="s">
        <v>37</v>
      </c>
      <c r="CJ234" s="68" t="s">
        <v>39</v>
      </c>
      <c r="CK234" s="68" t="s">
        <v>92</v>
      </c>
      <c r="CL234" s="69" t="s">
        <v>91</v>
      </c>
      <c r="CN234" s="68" t="s">
        <v>37</v>
      </c>
      <c r="CO234" s="68" t="s">
        <v>39</v>
      </c>
      <c r="CP234" s="68" t="s">
        <v>92</v>
      </c>
      <c r="CQ234" s="69" t="s">
        <v>91</v>
      </c>
    </row>
    <row r="235" spans="1:95" x14ac:dyDescent="0.25">
      <c r="A235" s="88" t="s">
        <v>56</v>
      </c>
      <c r="B235" s="65">
        <f>(5/2)+(4.1/2)</f>
        <v>4.55</v>
      </c>
      <c r="C235" s="65">
        <f>B235*'analisi dei carichi'!E35</f>
        <v>19.155499999999996</v>
      </c>
      <c r="D235" s="65">
        <f>B235*'analisi dei carichi'!H35</f>
        <v>24.902149999999995</v>
      </c>
      <c r="E235" s="65">
        <f>B235*'analisi dei carichi'!K35</f>
        <v>38.55214999999999</v>
      </c>
      <c r="F235" s="70">
        <f>B235*'analisi dei carichi'!N35</f>
        <v>21.885499999999993</v>
      </c>
      <c r="G235" s="88" t="s">
        <v>56</v>
      </c>
      <c r="H235" s="47">
        <f>4.1/2</f>
        <v>2.0499999999999998</v>
      </c>
      <c r="I235" s="47">
        <f>H235*'analisi dei carichi'!E35</f>
        <v>8.6304999999999978</v>
      </c>
      <c r="J235" s="47">
        <f>H235*'analisi dei carichi'!H35</f>
        <v>11.219649999999996</v>
      </c>
      <c r="K235" s="47">
        <f>H235*'analisi dei carichi'!K35</f>
        <v>17.369649999999996</v>
      </c>
      <c r="L235" s="46">
        <f>H235*'analisi dei carichi'!N35</f>
        <v>9.8604999999999965</v>
      </c>
      <c r="M235" s="88" t="s">
        <v>56</v>
      </c>
      <c r="N235" s="89"/>
      <c r="O235" s="89"/>
      <c r="P235" s="89"/>
      <c r="Q235" s="89"/>
      <c r="R235" s="90"/>
      <c r="T235" s="43">
        <f>(C242+I242+O241)/3.7</f>
        <v>18.156378378378374</v>
      </c>
      <c r="U235" s="43">
        <f>(D242+J242+P241)/3.7</f>
        <v>23.603291891891889</v>
      </c>
      <c r="V235" s="43">
        <f>(E242+K242+Q241)/3.7</f>
        <v>33.209372972972965</v>
      </c>
      <c r="W235" s="43">
        <f>(F242+L242+R241)/3.7</f>
        <v>20.03502702702702</v>
      </c>
      <c r="X235" s="101"/>
      <c r="Y235" s="134" t="s">
        <v>56</v>
      </c>
      <c r="Z235" s="47">
        <f>B235</f>
        <v>4.55</v>
      </c>
      <c r="AA235" s="115">
        <f>Z235*'analisi dei carichi'!O28</f>
        <v>23.457979999999999</v>
      </c>
      <c r="AB235" s="95">
        <f>Z235*'analisi dei carichi'!P28</f>
        <v>31.587373999999997</v>
      </c>
      <c r="AC235" s="137">
        <f>'analisi dei carichi'!K28*Z235</f>
        <v>45.237374000000003</v>
      </c>
      <c r="AD235" s="96">
        <f>Z235*'analisi dei carichi'!N28</f>
        <v>26.187979999999996</v>
      </c>
      <c r="AE235" s="143" t="str">
        <f>G235</f>
        <v>solaio</v>
      </c>
      <c r="AF235" s="94">
        <f>H235</f>
        <v>2.0499999999999998</v>
      </c>
      <c r="AG235" s="89">
        <f>AF235*'analisi dei carichi'!O28</f>
        <v>10.568979999999998</v>
      </c>
      <c r="AH235" s="89">
        <f>AF235*'analisi dei carichi'!P28</f>
        <v>14.231673999999998</v>
      </c>
      <c r="AI235" s="89">
        <f>AF235*'analisi dei carichi'!K28</f>
        <v>20.381674</v>
      </c>
      <c r="AJ235" s="90">
        <f>AF235*'analisi dei carichi'!N28</f>
        <v>11.798979999999998</v>
      </c>
      <c r="AK235" s="88" t="s">
        <v>56</v>
      </c>
      <c r="AL235" s="89"/>
      <c r="AM235" s="89"/>
      <c r="AN235" s="89"/>
      <c r="AO235" s="89"/>
      <c r="AP235" s="90"/>
      <c r="AR235" s="91">
        <f>(C242+I242+O241)/3.7</f>
        <v>18.156378378378374</v>
      </c>
      <c r="AS235" s="91">
        <f>(D242+J242+P241)/3.7</f>
        <v>23.603291891891889</v>
      </c>
      <c r="AT235" s="91">
        <f>(E242+K242+Q241)/3.7</f>
        <v>33.209372972972965</v>
      </c>
      <c r="AU235" s="91">
        <f>(F242+L242+R241)/3.7</f>
        <v>20.03502702702702</v>
      </c>
      <c r="AW235" s="88" t="s">
        <v>56</v>
      </c>
      <c r="AX235" s="47">
        <f>Z235</f>
        <v>4.55</v>
      </c>
      <c r="AY235" s="47">
        <f>AA235</f>
        <v>23.457979999999999</v>
      </c>
      <c r="AZ235" s="47">
        <f>AB235</f>
        <v>31.587373999999997</v>
      </c>
      <c r="BA235" s="47">
        <f>AC235</f>
        <v>45.237374000000003</v>
      </c>
      <c r="BB235" s="46">
        <f>AD235</f>
        <v>26.187979999999996</v>
      </c>
      <c r="BC235" s="43" t="str">
        <f t="shared" ref="BC235:BC240" si="77">AE235</f>
        <v>solaio</v>
      </c>
      <c r="BD235" s="47">
        <f>AF235</f>
        <v>2.0499999999999998</v>
      </c>
      <c r="BE235" s="47">
        <f>AG235</f>
        <v>10.568979999999998</v>
      </c>
      <c r="BF235" s="47">
        <f>AH235</f>
        <v>14.231673999999998</v>
      </c>
      <c r="BG235" s="47">
        <f>AI235</f>
        <v>20.381674</v>
      </c>
      <c r="BH235" s="46">
        <f t="shared" ref="BH235:BI240" si="78">AJ235</f>
        <v>11.798979999999998</v>
      </c>
      <c r="BI235" s="43" t="str">
        <f t="shared" si="78"/>
        <v>solaio</v>
      </c>
      <c r="BP235" s="43">
        <f>(AY242+BE242+BK241)/3.7</f>
        <v>26.387615135135132</v>
      </c>
      <c r="BQ235" s="43">
        <f>(AZ242+BF242+BL241)/3.7</f>
        <v>35.055359135135134</v>
      </c>
      <c r="BR235" s="43">
        <f>(BA242+BG242+BM241)/3.7</f>
        <v>44.448602378378382</v>
      </c>
      <c r="BS235" s="43">
        <f>(BB242+BH242+BN241)/3.7</f>
        <v>28.266263783783781</v>
      </c>
      <c r="BU235" s="88" t="s">
        <v>56</v>
      </c>
      <c r="BV235" s="43">
        <f t="shared" ref="BV235:CE235" si="79">AX235</f>
        <v>4.55</v>
      </c>
      <c r="BW235" s="43">
        <f t="shared" si="79"/>
        <v>23.457979999999999</v>
      </c>
      <c r="BX235" s="43">
        <f t="shared" si="79"/>
        <v>31.587373999999997</v>
      </c>
      <c r="BY235" s="43">
        <f t="shared" si="79"/>
        <v>45.237374000000003</v>
      </c>
      <c r="BZ235" s="43">
        <f t="shared" si="79"/>
        <v>26.187979999999996</v>
      </c>
      <c r="CA235" s="43" t="str">
        <f t="shared" si="79"/>
        <v>solaio</v>
      </c>
      <c r="CB235" s="43">
        <f t="shared" si="79"/>
        <v>2.0499999999999998</v>
      </c>
      <c r="CC235" s="43">
        <f t="shared" si="79"/>
        <v>10.568979999999998</v>
      </c>
      <c r="CD235" s="43">
        <f t="shared" si="79"/>
        <v>14.231673999999998</v>
      </c>
      <c r="CE235" s="43">
        <f t="shared" si="79"/>
        <v>20.381674</v>
      </c>
      <c r="CF235" s="43">
        <f t="shared" ref="CF235:CG240" si="80">BH235</f>
        <v>11.798979999999998</v>
      </c>
      <c r="CG235" s="43" t="str">
        <f t="shared" si="80"/>
        <v>solaio</v>
      </c>
      <c r="CN235" s="43">
        <f>BP235</f>
        <v>26.387615135135132</v>
      </c>
      <c r="CO235" s="43">
        <f>BQ235</f>
        <v>35.055359135135134</v>
      </c>
      <c r="CP235" s="43">
        <f>BR235</f>
        <v>44.448602378378382</v>
      </c>
      <c r="CQ235" s="43">
        <f>BS235</f>
        <v>28.266263783783781</v>
      </c>
    </row>
    <row r="236" spans="1:95" x14ac:dyDescent="0.25">
      <c r="A236" s="170" t="s">
        <v>340</v>
      </c>
      <c r="B236" s="65"/>
      <c r="C236" s="65"/>
      <c r="D236" s="65"/>
      <c r="E236" s="65"/>
      <c r="F236" s="70"/>
      <c r="G236" s="170" t="s">
        <v>340</v>
      </c>
      <c r="H236" s="47">
        <f>H202</f>
        <v>0.5</v>
      </c>
      <c r="I236" s="47">
        <f>I202</f>
        <v>1.95</v>
      </c>
      <c r="J236" s="47">
        <f>J202</f>
        <v>2.5350000000000001</v>
      </c>
      <c r="K236" s="47">
        <f>K202</f>
        <v>2.91</v>
      </c>
      <c r="L236" s="46">
        <f>L202</f>
        <v>1.95</v>
      </c>
      <c r="M236" s="170" t="s">
        <v>340</v>
      </c>
      <c r="N236" s="89"/>
      <c r="O236" s="89"/>
      <c r="P236" s="89"/>
      <c r="Q236" s="89"/>
      <c r="R236" s="90"/>
      <c r="V236" s="43"/>
      <c r="W236" s="43"/>
      <c r="X236" s="101"/>
      <c r="Y236" s="170" t="s">
        <v>340</v>
      </c>
      <c r="Z236" s="47"/>
      <c r="AA236" s="115"/>
      <c r="AB236" s="95"/>
      <c r="AC236" s="115"/>
      <c r="AD236" s="96"/>
      <c r="AE236" s="143" t="str">
        <f>G236</f>
        <v>terrazzino/corn</v>
      </c>
      <c r="AF236" s="94">
        <f>AF202</f>
        <v>2.4500000000000002</v>
      </c>
      <c r="AG236" s="46">
        <f>AG202</f>
        <v>10.314499999999999</v>
      </c>
      <c r="AH236" s="46">
        <f>AH202</f>
        <v>13.408849999999999</v>
      </c>
      <c r="AI236" s="46">
        <f>AI202</f>
        <v>28.10885</v>
      </c>
      <c r="AJ236" s="46">
        <f>AJ202</f>
        <v>16.194500000000001</v>
      </c>
      <c r="AK236" s="170" t="s">
        <v>340</v>
      </c>
      <c r="AL236" s="89"/>
      <c r="AM236" s="89"/>
      <c r="AN236" s="89"/>
      <c r="AO236" s="89"/>
      <c r="AP236" s="90"/>
      <c r="AW236" s="170" t="s">
        <v>340</v>
      </c>
      <c r="AX236" s="47"/>
      <c r="AY236" s="47"/>
      <c r="AZ236" s="47"/>
      <c r="BA236" s="47"/>
      <c r="BB236" s="46"/>
      <c r="BC236" s="43" t="str">
        <f t="shared" si="77"/>
        <v>terrazzino/corn</v>
      </c>
      <c r="BD236" s="47">
        <f>AF236</f>
        <v>2.4500000000000002</v>
      </c>
      <c r="BE236" s="47"/>
      <c r="BF236" s="47"/>
      <c r="BG236" s="47"/>
      <c r="BH236" s="46"/>
      <c r="BI236" s="43" t="str">
        <f t="shared" si="78"/>
        <v>terrazzino/corn</v>
      </c>
      <c r="BU236" s="170" t="s">
        <v>340</v>
      </c>
      <c r="BZ236" s="43">
        <f t="shared" ref="BZ236:BZ241" si="81">BB236</f>
        <v>0</v>
      </c>
      <c r="CA236" s="43" t="str">
        <f t="shared" ref="CA236:CA241" si="82">BC236</f>
        <v>terrazzino/corn</v>
      </c>
      <c r="CB236" s="43">
        <f>BD236</f>
        <v>2.4500000000000002</v>
      </c>
      <c r="CG236" s="43" t="str">
        <f t="shared" si="80"/>
        <v>terrazzino/corn</v>
      </c>
    </row>
    <row r="237" spans="1:95" x14ac:dyDescent="0.25">
      <c r="A237" s="88" t="s">
        <v>77</v>
      </c>
      <c r="B237" s="65"/>
      <c r="C237" s="65"/>
      <c r="D237" s="65"/>
      <c r="E237" s="65"/>
      <c r="F237" s="70"/>
      <c r="G237" s="88" t="s">
        <v>77</v>
      </c>
      <c r="H237" s="47"/>
      <c r="I237" s="47"/>
      <c r="J237" s="47"/>
      <c r="K237" s="47"/>
      <c r="L237" s="46"/>
      <c r="M237" s="88" t="s">
        <v>77</v>
      </c>
      <c r="N237" s="89"/>
      <c r="O237" s="89"/>
      <c r="P237" s="89"/>
      <c r="Q237" s="89"/>
      <c r="R237" s="90"/>
      <c r="V237" s="43"/>
      <c r="W237" s="43"/>
      <c r="X237" s="101"/>
      <c r="Y237" s="134" t="s">
        <v>77</v>
      </c>
      <c r="Z237" s="47"/>
      <c r="AA237" s="115"/>
      <c r="AB237" s="95"/>
      <c r="AC237" s="115"/>
      <c r="AD237" s="96"/>
      <c r="AE237" s="143" t="str">
        <f>G237</f>
        <v>scala</v>
      </c>
      <c r="AF237" s="94"/>
      <c r="AG237" s="89"/>
      <c r="AH237" s="89"/>
      <c r="AI237" s="89"/>
      <c r="AJ237" s="90"/>
      <c r="AK237" s="88" t="s">
        <v>77</v>
      </c>
      <c r="AL237" s="89"/>
      <c r="AM237" s="89"/>
      <c r="AN237" s="89"/>
      <c r="AO237" s="89"/>
      <c r="AP237" s="90"/>
      <c r="AW237" s="88" t="s">
        <v>77</v>
      </c>
      <c r="AX237" s="47"/>
      <c r="AY237" s="47"/>
      <c r="AZ237" s="47"/>
      <c r="BA237" s="47"/>
      <c r="BB237" s="46"/>
      <c r="BC237" s="43" t="str">
        <f t="shared" si="77"/>
        <v>scala</v>
      </c>
      <c r="BD237" s="47"/>
      <c r="BE237" s="47"/>
      <c r="BF237" s="47"/>
      <c r="BG237" s="47"/>
      <c r="BH237" s="46"/>
      <c r="BI237" s="43" t="str">
        <f t="shared" si="78"/>
        <v>scala</v>
      </c>
      <c r="BU237" s="88" t="s">
        <v>77</v>
      </c>
      <c r="BZ237" s="43">
        <f t="shared" si="81"/>
        <v>0</v>
      </c>
      <c r="CA237" s="43" t="str">
        <f t="shared" si="82"/>
        <v>scala</v>
      </c>
      <c r="CG237" s="43" t="str">
        <f t="shared" si="80"/>
        <v>scala</v>
      </c>
    </row>
    <row r="238" spans="1:95" x14ac:dyDescent="0.25">
      <c r="A238" s="88" t="s">
        <v>78</v>
      </c>
      <c r="B238" s="65">
        <f>B204</f>
        <v>1</v>
      </c>
      <c r="C238" s="65">
        <f>C204</f>
        <v>2.9550000000000001</v>
      </c>
      <c r="D238" s="65">
        <f>D204</f>
        <v>3.8415000000000004</v>
      </c>
      <c r="E238" s="65">
        <f>E204</f>
        <v>3.8415000000000004</v>
      </c>
      <c r="F238" s="65">
        <f>F204</f>
        <v>2.9550000000000001</v>
      </c>
      <c r="G238" s="88" t="s">
        <v>78</v>
      </c>
      <c r="H238" s="47">
        <f>H204</f>
        <v>1</v>
      </c>
      <c r="I238" s="47">
        <f>I204</f>
        <v>2.9550000000000001</v>
      </c>
      <c r="J238" s="47">
        <f>J204</f>
        <v>3.8415000000000004</v>
      </c>
      <c r="K238" s="47">
        <f>K204</f>
        <v>3.8415000000000004</v>
      </c>
      <c r="L238" s="46">
        <f>L204</f>
        <v>2.9550000000000001</v>
      </c>
      <c r="M238" s="88" t="s">
        <v>78</v>
      </c>
      <c r="N238" s="89"/>
      <c r="O238" s="89"/>
      <c r="P238" s="89"/>
      <c r="Q238" s="89"/>
      <c r="R238" s="90"/>
      <c r="V238" s="43"/>
      <c r="W238" s="43"/>
      <c r="X238" s="101"/>
      <c r="Y238" s="134" t="s">
        <v>78</v>
      </c>
      <c r="Z238" s="47">
        <f>B238</f>
        <v>1</v>
      </c>
      <c r="AA238" s="137">
        <f>C238</f>
        <v>2.9550000000000001</v>
      </c>
      <c r="AB238" s="47">
        <f>D238</f>
        <v>3.8415000000000004</v>
      </c>
      <c r="AC238" s="137">
        <f>E238</f>
        <v>3.8415000000000004</v>
      </c>
      <c r="AD238" s="46">
        <f>F238</f>
        <v>2.9550000000000001</v>
      </c>
      <c r="AE238" s="143" t="str">
        <f>G238</f>
        <v>trave emergente</v>
      </c>
      <c r="AF238" s="94">
        <f>H238</f>
        <v>1</v>
      </c>
      <c r="AG238" s="46">
        <f>I238</f>
        <v>2.9550000000000001</v>
      </c>
      <c r="AH238" s="46">
        <f>J238</f>
        <v>3.8415000000000004</v>
      </c>
      <c r="AI238" s="46">
        <f>K238</f>
        <v>3.8415000000000004</v>
      </c>
      <c r="AJ238" s="46">
        <f>L238</f>
        <v>2.9550000000000001</v>
      </c>
      <c r="AK238" s="88" t="s">
        <v>78</v>
      </c>
      <c r="AL238" s="89"/>
      <c r="AM238" s="89"/>
      <c r="AN238" s="89"/>
      <c r="AO238" s="89"/>
      <c r="AP238" s="90"/>
      <c r="AW238" s="88" t="s">
        <v>78</v>
      </c>
      <c r="AX238" s="47">
        <f>Z238</f>
        <v>1</v>
      </c>
      <c r="AY238" s="47">
        <f>AX238*'analisi dei carichi'!E30</f>
        <v>3.7050000000000001</v>
      </c>
      <c r="AZ238" s="47">
        <f>AX238*'analisi dei carichi'!H30</f>
        <v>4.8165000000000004</v>
      </c>
      <c r="BA238" s="47">
        <f>AX238*'analisi dei carichi'!K30</f>
        <v>4.8165000000000004</v>
      </c>
      <c r="BB238" s="46">
        <f>AX238*'analisi dei carichi'!N30</f>
        <v>3.7050000000000001</v>
      </c>
      <c r="BC238" s="43" t="str">
        <f t="shared" si="77"/>
        <v>trave emergente</v>
      </c>
      <c r="BD238" s="47">
        <f>AX238</f>
        <v>1</v>
      </c>
      <c r="BE238" s="47">
        <f>AY238</f>
        <v>3.7050000000000001</v>
      </c>
      <c r="BF238" s="47">
        <f>AZ238</f>
        <v>4.8165000000000004</v>
      </c>
      <c r="BG238" s="47">
        <f>BA238</f>
        <v>4.8165000000000004</v>
      </c>
      <c r="BH238" s="46">
        <f>BB238</f>
        <v>3.7050000000000001</v>
      </c>
      <c r="BI238" s="43" t="str">
        <f t="shared" si="78"/>
        <v>trave emergente</v>
      </c>
      <c r="BU238" s="88" t="s">
        <v>78</v>
      </c>
      <c r="BV238" s="43">
        <f>AX238</f>
        <v>1</v>
      </c>
      <c r="BW238" s="43">
        <f>AY238</f>
        <v>3.7050000000000001</v>
      </c>
      <c r="BX238" s="43">
        <f>AZ238</f>
        <v>4.8165000000000004</v>
      </c>
      <c r="BY238" s="43">
        <f>BA238</f>
        <v>4.8165000000000004</v>
      </c>
      <c r="BZ238" s="43">
        <f t="shared" si="81"/>
        <v>3.7050000000000001</v>
      </c>
      <c r="CA238" s="43" t="str">
        <f t="shared" si="82"/>
        <v>trave emergente</v>
      </c>
      <c r="CB238" s="43">
        <f>BD238</f>
        <v>1</v>
      </c>
      <c r="CC238" s="43">
        <f>BE238</f>
        <v>3.7050000000000001</v>
      </c>
      <c r="CD238" s="43">
        <f>BF238</f>
        <v>4.8165000000000004</v>
      </c>
      <c r="CE238" s="43">
        <f>BG238</f>
        <v>4.8165000000000004</v>
      </c>
      <c r="CF238" s="43">
        <f>BH238</f>
        <v>3.7050000000000001</v>
      </c>
      <c r="CG238" s="43" t="str">
        <f t="shared" si="80"/>
        <v>trave emergente</v>
      </c>
    </row>
    <row r="239" spans="1:95" x14ac:dyDescent="0.25">
      <c r="A239" s="88" t="s">
        <v>79</v>
      </c>
      <c r="B239" s="76"/>
      <c r="C239" s="65"/>
      <c r="D239" s="65"/>
      <c r="E239" s="65"/>
      <c r="F239" s="70"/>
      <c r="G239" s="88" t="s">
        <v>79</v>
      </c>
      <c r="H239" s="47"/>
      <c r="I239" s="47"/>
      <c r="J239" s="47"/>
      <c r="K239" s="47"/>
      <c r="L239" s="46"/>
      <c r="M239" s="88" t="s">
        <v>79</v>
      </c>
      <c r="N239" s="89">
        <f>3.95/2</f>
        <v>1.9750000000000001</v>
      </c>
      <c r="O239" s="89">
        <f>N239*'analisi dei carichi'!E31</f>
        <v>3.3772500000000005</v>
      </c>
      <c r="P239" s="89">
        <f>N239*'analisi dei carichi'!H31</f>
        <v>4.3904250000000005</v>
      </c>
      <c r="Q239" s="89">
        <f>N239*'analisi dei carichi'!K31</f>
        <v>4.3904250000000005</v>
      </c>
      <c r="R239" s="90">
        <f>N239*'analisi dei carichi'!N31</f>
        <v>3.3772500000000005</v>
      </c>
      <c r="V239" s="43"/>
      <c r="W239" s="43"/>
      <c r="X239" s="101"/>
      <c r="Y239" s="134" t="s">
        <v>79</v>
      </c>
      <c r="Z239" s="47"/>
      <c r="AA239" s="115"/>
      <c r="AB239" s="95"/>
      <c r="AC239" s="115"/>
      <c r="AD239" s="96"/>
      <c r="AE239" s="143" t="str">
        <f>G239</f>
        <v>trave a spessore</v>
      </c>
      <c r="AF239" s="94"/>
      <c r="AG239" s="89"/>
      <c r="AH239" s="89"/>
      <c r="AI239" s="89"/>
      <c r="AJ239" s="90"/>
      <c r="AK239" s="88" t="s">
        <v>79</v>
      </c>
      <c r="AL239" s="89">
        <f>N239</f>
        <v>1.9750000000000001</v>
      </c>
      <c r="AM239" s="89">
        <f>O239</f>
        <v>3.3772500000000005</v>
      </c>
      <c r="AN239" s="89">
        <f>P239</f>
        <v>4.3904250000000005</v>
      </c>
      <c r="AO239" s="89">
        <f>Q239</f>
        <v>4.3904250000000005</v>
      </c>
      <c r="AP239" s="90">
        <f>R239</f>
        <v>3.3772500000000005</v>
      </c>
      <c r="AW239" s="88" t="s">
        <v>79</v>
      </c>
      <c r="AX239" s="47"/>
      <c r="AY239" s="47"/>
      <c r="AZ239" s="47"/>
      <c r="BA239" s="47"/>
      <c r="BB239" s="46"/>
      <c r="BC239" s="43" t="str">
        <f t="shared" si="77"/>
        <v>trave a spessore</v>
      </c>
      <c r="BD239" s="47"/>
      <c r="BE239" s="47"/>
      <c r="BF239" s="47"/>
      <c r="BG239" s="47"/>
      <c r="BH239" s="46"/>
      <c r="BI239" s="43" t="str">
        <f t="shared" si="78"/>
        <v>trave a spessore</v>
      </c>
      <c r="BJ239" s="43">
        <f t="shared" ref="BJ239:BN240" si="83">AL239</f>
        <v>1.9750000000000001</v>
      </c>
      <c r="BK239" s="43">
        <f t="shared" si="83"/>
        <v>3.3772500000000005</v>
      </c>
      <c r="BL239" s="43">
        <f t="shared" si="83"/>
        <v>4.3904250000000005</v>
      </c>
      <c r="BM239" s="43">
        <f t="shared" si="83"/>
        <v>4.3904250000000005</v>
      </c>
      <c r="BN239" s="43">
        <f t="shared" si="83"/>
        <v>3.3772500000000005</v>
      </c>
      <c r="BU239" s="88" t="s">
        <v>79</v>
      </c>
      <c r="BZ239" s="43">
        <f t="shared" si="81"/>
        <v>0</v>
      </c>
      <c r="CA239" s="43" t="str">
        <f t="shared" si="82"/>
        <v>trave a spessore</v>
      </c>
      <c r="CG239" s="43" t="str">
        <f t="shared" si="80"/>
        <v>trave a spessore</v>
      </c>
      <c r="CH239" s="43">
        <f t="shared" ref="CH239:CL240" si="84">BJ239</f>
        <v>1.9750000000000001</v>
      </c>
      <c r="CI239" s="43">
        <f t="shared" si="84"/>
        <v>3.3772500000000005</v>
      </c>
      <c r="CJ239" s="43">
        <f t="shared" si="84"/>
        <v>4.3904250000000005</v>
      </c>
      <c r="CK239" s="43">
        <f t="shared" si="84"/>
        <v>4.3904250000000005</v>
      </c>
      <c r="CL239" s="43">
        <f t="shared" si="84"/>
        <v>3.3772500000000005</v>
      </c>
    </row>
    <row r="240" spans="1:95" x14ac:dyDescent="0.25">
      <c r="A240" s="88" t="s">
        <v>80</v>
      </c>
      <c r="B240" s="75"/>
      <c r="C240" s="71"/>
      <c r="D240" s="71"/>
      <c r="E240" s="71"/>
      <c r="F240" s="72"/>
      <c r="G240" s="88" t="s">
        <v>80</v>
      </c>
      <c r="H240" s="48"/>
      <c r="I240" s="48"/>
      <c r="J240" s="48"/>
      <c r="K240" s="48"/>
      <c r="L240" s="49"/>
      <c r="M240" s="88" t="s">
        <v>80</v>
      </c>
      <c r="N240" s="48"/>
      <c r="O240" s="98"/>
      <c r="P240" s="98"/>
      <c r="Q240" s="98"/>
      <c r="R240" s="99"/>
      <c r="V240" s="43"/>
      <c r="W240" s="43"/>
      <c r="X240" s="101"/>
      <c r="Y240" s="134" t="s">
        <v>80</v>
      </c>
      <c r="Z240" s="98"/>
      <c r="AA240" s="141"/>
      <c r="AB240" s="98"/>
      <c r="AC240" s="141"/>
      <c r="AD240" s="98"/>
      <c r="AE240" s="143" t="str">
        <f>G240</f>
        <v>tamponatura</v>
      </c>
      <c r="AF240" s="48">
        <v>0.8</v>
      </c>
      <c r="AG240" s="98">
        <f>AF240*'analisi dei carichi'!E29</f>
        <v>4.5760000000000005</v>
      </c>
      <c r="AH240" s="98">
        <f>AF240*'analisi dei carichi'!H29</f>
        <v>5.9488000000000012</v>
      </c>
      <c r="AI240" s="98">
        <f>AF240*'analisi dei carichi'!K29</f>
        <v>5.9488000000000012</v>
      </c>
      <c r="AJ240" s="99">
        <f>AF240*'analisi dei carichi'!N29</f>
        <v>4.5760000000000005</v>
      </c>
      <c r="AK240" s="88" t="s">
        <v>80</v>
      </c>
      <c r="AL240" s="92">
        <f>(4.9/2)*0.8</f>
        <v>1.9600000000000002</v>
      </c>
      <c r="AM240" s="92">
        <f>AL240*'analisi dei carichi'!E29</f>
        <v>11.211200000000002</v>
      </c>
      <c r="AN240" s="92">
        <f>AL240*'analisi dei carichi'!H29</f>
        <v>14.574560000000004</v>
      </c>
      <c r="AO240" s="92">
        <f>AL240*'analisi dei carichi'!K29</f>
        <v>14.574560000000004</v>
      </c>
      <c r="AP240" s="93">
        <f>AL240*'analisi dei carichi'!N29</f>
        <v>11.211200000000002</v>
      </c>
      <c r="AW240" s="88" t="s">
        <v>80</v>
      </c>
      <c r="AX240" s="48"/>
      <c r="AY240" s="48"/>
      <c r="AZ240" s="48"/>
      <c r="BA240" s="48"/>
      <c r="BB240" s="49"/>
      <c r="BC240" s="43" t="str">
        <f t="shared" si="77"/>
        <v>tamponatura</v>
      </c>
      <c r="BD240" s="48">
        <f>AF240</f>
        <v>0.8</v>
      </c>
      <c r="BE240" s="48">
        <f>AG240</f>
        <v>4.5760000000000005</v>
      </c>
      <c r="BF240" s="48">
        <f>AH240</f>
        <v>5.9488000000000012</v>
      </c>
      <c r="BG240" s="48">
        <f>AI240</f>
        <v>5.9488000000000012</v>
      </c>
      <c r="BH240" s="49">
        <f>AJ240</f>
        <v>4.5760000000000005</v>
      </c>
      <c r="BI240" s="43" t="str">
        <f t="shared" si="78"/>
        <v>tamponatura</v>
      </c>
      <c r="BJ240" s="43">
        <f t="shared" si="83"/>
        <v>1.9600000000000002</v>
      </c>
      <c r="BK240" s="43">
        <f t="shared" si="83"/>
        <v>11.211200000000002</v>
      </c>
      <c r="BL240" s="43">
        <f t="shared" si="83"/>
        <v>14.574560000000004</v>
      </c>
      <c r="BM240" s="43">
        <f t="shared" si="83"/>
        <v>14.574560000000004</v>
      </c>
      <c r="BN240" s="43">
        <f t="shared" si="83"/>
        <v>11.211200000000002</v>
      </c>
      <c r="BU240" s="88" t="s">
        <v>80</v>
      </c>
      <c r="CA240" s="43" t="str">
        <f t="shared" si="82"/>
        <v>tamponatura</v>
      </c>
      <c r="CB240" s="43">
        <f>0.9</f>
        <v>0.9</v>
      </c>
      <c r="CC240" s="43">
        <f>CB240*'analisi dei carichi'!E29</f>
        <v>5.1480000000000006</v>
      </c>
      <c r="CD240" s="43">
        <f>CB240*'analisi dei carichi'!H29</f>
        <v>6.692400000000001</v>
      </c>
      <c r="CE240" s="43">
        <f>CB240*'analisi dei carichi'!K29</f>
        <v>6.692400000000001</v>
      </c>
      <c r="CF240" s="43">
        <f>CB240*'analisi dei carichi'!N29</f>
        <v>5.1480000000000006</v>
      </c>
      <c r="CG240" s="43" t="str">
        <f t="shared" si="80"/>
        <v>tamponatura</v>
      </c>
      <c r="CH240" s="43">
        <f t="shared" si="84"/>
        <v>1.9600000000000002</v>
      </c>
      <c r="CI240" s="43">
        <f t="shared" si="84"/>
        <v>11.211200000000002</v>
      </c>
      <c r="CJ240" s="43">
        <f t="shared" si="84"/>
        <v>14.574560000000004</v>
      </c>
      <c r="CK240" s="43">
        <f t="shared" si="84"/>
        <v>14.574560000000004</v>
      </c>
      <c r="CL240" s="43">
        <f t="shared" si="84"/>
        <v>11.211200000000002</v>
      </c>
    </row>
    <row r="241" spans="1:95" x14ac:dyDescent="0.25">
      <c r="A241" s="88" t="s">
        <v>55</v>
      </c>
      <c r="B241" s="65"/>
      <c r="C241" s="65">
        <f>SUM(C235:C240)</f>
        <v>22.110499999999995</v>
      </c>
      <c r="D241" s="65">
        <f>SUM(D235:D240)</f>
        <v>28.743649999999995</v>
      </c>
      <c r="E241" s="65">
        <f>SUM(E235:E240)</f>
        <v>42.393649999999994</v>
      </c>
      <c r="F241" s="65">
        <f>SUM(F235:F240)</f>
        <v>24.840499999999992</v>
      </c>
      <c r="G241" s="65"/>
      <c r="I241" s="43">
        <f>SUM(I235:I240)</f>
        <v>13.535499999999997</v>
      </c>
      <c r="J241" s="43">
        <f>SUM(J235:J240)</f>
        <v>17.596149999999998</v>
      </c>
      <c r="K241" s="43">
        <f>SUM(K235:K240)</f>
        <v>24.121149999999997</v>
      </c>
      <c r="L241" s="43">
        <f>SUM(L235:L240)</f>
        <v>14.765499999999996</v>
      </c>
      <c r="M241" s="88" t="s">
        <v>55</v>
      </c>
      <c r="N241" s="91"/>
      <c r="O241" s="91">
        <f>SUM(O235:O240)</f>
        <v>3.3772500000000005</v>
      </c>
      <c r="P241" s="91">
        <f>SUM(P235:P240)</f>
        <v>4.3904250000000005</v>
      </c>
      <c r="Q241" s="91">
        <f>SUM(Q235:Q240)</f>
        <v>4.3904250000000005</v>
      </c>
      <c r="R241" s="91">
        <f>SUM(R235:R240)</f>
        <v>3.3772500000000005</v>
      </c>
      <c r="V241" s="43"/>
      <c r="W241" s="43"/>
      <c r="X241" s="101"/>
      <c r="Y241" s="134" t="s">
        <v>55</v>
      </c>
      <c r="Z241" s="43"/>
      <c r="AA241" s="134">
        <f>SUM(AA235:AA240)</f>
        <v>26.412979999999997</v>
      </c>
      <c r="AB241" s="91">
        <f>SUM(AB235:AB240)</f>
        <v>35.428874</v>
      </c>
      <c r="AC241" s="134">
        <f>SUM(AC235:AC240)</f>
        <v>49.078874000000006</v>
      </c>
      <c r="AD241" s="91">
        <f>SUM(AD235:AD240)</f>
        <v>29.142979999999994</v>
      </c>
      <c r="AE241" s="143"/>
      <c r="AG241" s="91">
        <f t="shared" ref="AG241:AJ242" si="85">SUM(AG235:AG240)</f>
        <v>28.414479999999998</v>
      </c>
      <c r="AH241" s="91">
        <f t="shared" si="85"/>
        <v>37.430824000000001</v>
      </c>
      <c r="AI241" s="91">
        <f t="shared" si="85"/>
        <v>58.280824000000003</v>
      </c>
      <c r="AJ241" s="91">
        <f t="shared" si="85"/>
        <v>35.524479999999997</v>
      </c>
      <c r="AK241" s="65"/>
      <c r="AM241" s="91">
        <f>SUM(AM239:AM240)</f>
        <v>14.588450000000002</v>
      </c>
      <c r="AN241" s="91">
        <f>SUM(AN239:AN240)</f>
        <v>18.964985000000006</v>
      </c>
      <c r="AO241" s="91">
        <f>SUM(AO239:AO240)</f>
        <v>18.964985000000006</v>
      </c>
      <c r="AP241" s="91">
        <f>SUM(AP239:AP240)</f>
        <v>14.588450000000002</v>
      </c>
      <c r="AW241" s="88" t="s">
        <v>55</v>
      </c>
      <c r="AY241" s="43">
        <f>SUM(AY235:AY240)</f>
        <v>27.162979999999997</v>
      </c>
      <c r="AZ241" s="43">
        <f>SUM(AZ235:AZ240)</f>
        <v>36.403873999999995</v>
      </c>
      <c r="BA241" s="43">
        <f>SUM(BA235:BA240)</f>
        <v>50.053874</v>
      </c>
      <c r="BB241" s="43">
        <f>SUM(BB235:BB240)</f>
        <v>29.892979999999994</v>
      </c>
      <c r="BC241" s="88" t="s">
        <v>55</v>
      </c>
      <c r="BE241" s="43">
        <f>SUM(BE235:BE240)</f>
        <v>18.849979999999999</v>
      </c>
      <c r="BF241" s="43">
        <f>SUM(BF235:BF240)</f>
        <v>24.996974000000002</v>
      </c>
      <c r="BG241" s="43">
        <f>SUM(BG235:BG240)</f>
        <v>31.146974000000004</v>
      </c>
      <c r="BH241" s="43">
        <f>SUM(BH235:BH240)</f>
        <v>20.079979999999999</v>
      </c>
      <c r="BK241" s="43">
        <f>AM241</f>
        <v>14.588450000000002</v>
      </c>
      <c r="BL241" s="43">
        <f>AN241</f>
        <v>18.964985000000006</v>
      </c>
      <c r="BM241" s="43">
        <f>AO241</f>
        <v>18.964985000000006</v>
      </c>
      <c r="BN241" s="43">
        <f>AP241</f>
        <v>14.588450000000002</v>
      </c>
      <c r="BU241" s="88" t="s">
        <v>55</v>
      </c>
      <c r="BW241" s="43">
        <f>AY241</f>
        <v>27.162979999999997</v>
      </c>
      <c r="BX241" s="43">
        <f>AZ241</f>
        <v>36.403873999999995</v>
      </c>
      <c r="BY241" s="43">
        <f>BA241</f>
        <v>50.053874</v>
      </c>
      <c r="BZ241" s="43">
        <f t="shared" si="81"/>
        <v>29.892979999999994</v>
      </c>
      <c r="CA241" s="43" t="str">
        <f t="shared" si="82"/>
        <v>totale</v>
      </c>
      <c r="CC241" s="43">
        <f>BE241</f>
        <v>18.849979999999999</v>
      </c>
      <c r="CD241" s="43">
        <f>BF241</f>
        <v>24.996974000000002</v>
      </c>
      <c r="CE241" s="43">
        <f>BG241</f>
        <v>31.146974000000004</v>
      </c>
      <c r="CF241" s="43">
        <f>BH241</f>
        <v>20.079979999999999</v>
      </c>
      <c r="CI241" s="43">
        <f>BK241</f>
        <v>14.588450000000002</v>
      </c>
      <c r="CJ241" s="43">
        <f>BL241</f>
        <v>18.964985000000006</v>
      </c>
      <c r="CK241" s="43">
        <f>BM241</f>
        <v>18.964985000000006</v>
      </c>
      <c r="CL241" s="43">
        <f>BN241</f>
        <v>14.588450000000002</v>
      </c>
    </row>
    <row r="242" spans="1:95" x14ac:dyDescent="0.25">
      <c r="C242" s="43">
        <f>C241*$E$233</f>
        <v>35.376799999999996</v>
      </c>
      <c r="D242" s="43">
        <f>D241*$E$233</f>
        <v>45.989839999999994</v>
      </c>
      <c r="E242" s="43">
        <f>E241*$E$233</f>
        <v>67.82983999999999</v>
      </c>
      <c r="F242" s="43">
        <f>F241*$E$233</f>
        <v>39.744799999999991</v>
      </c>
      <c r="I242" s="43">
        <f>I241*$K$233</f>
        <v>28.424549999999996</v>
      </c>
      <c r="J242" s="43">
        <f>J241*$K$233</f>
        <v>36.951915</v>
      </c>
      <c r="K242" s="43">
        <f>K241*$K$233</f>
        <v>50.654414999999993</v>
      </c>
      <c r="L242" s="43">
        <f>L241*$K$233</f>
        <v>31.007549999999991</v>
      </c>
      <c r="V242" s="43"/>
      <c r="W242" s="43"/>
      <c r="X242" s="101"/>
      <c r="Y242" s="74"/>
      <c r="Z242" s="43"/>
      <c r="AA242" s="134">
        <f>AA241*$AB$233</f>
        <v>42.260767999999999</v>
      </c>
      <c r="AB242" s="91">
        <f>AB241*$AB$233</f>
        <v>56.686198400000002</v>
      </c>
      <c r="AC242" s="134">
        <f>AC241*$AB$233</f>
        <v>78.526198400000013</v>
      </c>
      <c r="AD242" s="91">
        <f>AD241*$AB$233</f>
        <v>46.628767999999994</v>
      </c>
      <c r="AG242" s="91">
        <f t="shared" si="85"/>
        <v>46.259979999999999</v>
      </c>
      <c r="AH242" s="91">
        <f t="shared" si="85"/>
        <v>60.629974000000004</v>
      </c>
      <c r="AI242" s="91">
        <f t="shared" si="85"/>
        <v>96.179974000000001</v>
      </c>
      <c r="AJ242" s="91">
        <f t="shared" si="85"/>
        <v>59.249980000000001</v>
      </c>
      <c r="AY242" s="43">
        <f>AY241*$BB$233</f>
        <v>43.460768000000002</v>
      </c>
      <c r="AZ242" s="43">
        <f>AZ241*$BB$233</f>
        <v>58.246198399999997</v>
      </c>
      <c r="BA242" s="43">
        <f>BA241*$BB$233</f>
        <v>80.086198400000001</v>
      </c>
      <c r="BB242" s="43">
        <f>BB241*$BB$233</f>
        <v>47.828767999999997</v>
      </c>
      <c r="BE242" s="43">
        <f>BE241*$BH$233</f>
        <v>39.584958</v>
      </c>
      <c r="BF242" s="43">
        <f>BF241*$BH$233</f>
        <v>52.493645400000005</v>
      </c>
      <c r="BG242" s="43">
        <f>BG241*$BH$233</f>
        <v>65.408645400000012</v>
      </c>
      <c r="BH242" s="43">
        <f>BH241*$BH$233</f>
        <v>42.167957999999999</v>
      </c>
    </row>
    <row r="243" spans="1:95" x14ac:dyDescent="0.25">
      <c r="C243" s="63" t="s">
        <v>136</v>
      </c>
      <c r="D243" s="62" t="s">
        <v>134</v>
      </c>
      <c r="E243" s="50"/>
      <c r="W243" s="43"/>
      <c r="X243" s="101"/>
      <c r="Y243" s="74"/>
      <c r="Z243" s="43" t="s">
        <v>252</v>
      </c>
    </row>
    <row r="244" spans="1:95" x14ac:dyDescent="0.25">
      <c r="B244" s="57" t="s">
        <v>76</v>
      </c>
      <c r="C244" s="43" t="s">
        <v>93</v>
      </c>
      <c r="E244" s="43" t="s">
        <v>249</v>
      </c>
      <c r="H244" s="57" t="s">
        <v>76</v>
      </c>
      <c r="I244" s="43" t="s">
        <v>93</v>
      </c>
      <c r="K244" s="43" t="s">
        <v>250</v>
      </c>
      <c r="P244" s="43" t="s">
        <v>251</v>
      </c>
      <c r="U244" s="43" t="s">
        <v>252</v>
      </c>
      <c r="V244" s="43"/>
      <c r="Y244" s="74"/>
      <c r="AB244" s="64" t="s">
        <v>248</v>
      </c>
      <c r="AC244" s="74"/>
      <c r="AD244" s="43" t="s">
        <v>249</v>
      </c>
      <c r="AE244" s="74"/>
      <c r="AF244" s="43"/>
      <c r="AG244" s="43"/>
      <c r="AH244" s="43"/>
      <c r="AI244" s="43"/>
      <c r="AJ244" s="43" t="s">
        <v>250</v>
      </c>
      <c r="AK244" s="43"/>
      <c r="AL244" s="43"/>
      <c r="AN244" s="43"/>
      <c r="AO244" s="43" t="s">
        <v>251</v>
      </c>
      <c r="AP244" s="43"/>
      <c r="AQ244" s="43"/>
      <c r="AR244" s="43"/>
      <c r="AS244" s="43"/>
      <c r="AT244" s="43" t="s">
        <v>252</v>
      </c>
      <c r="AW244" s="91"/>
      <c r="AX244" s="91"/>
      <c r="AY244" s="88"/>
      <c r="AZ244" s="64" t="s">
        <v>248</v>
      </c>
      <c r="BB244" s="43" t="s">
        <v>249</v>
      </c>
      <c r="BH244" s="43" t="s">
        <v>250</v>
      </c>
      <c r="BK244" s="91"/>
      <c r="BM244" s="43" t="s">
        <v>251</v>
      </c>
      <c r="BS244" s="43" t="s">
        <v>252</v>
      </c>
      <c r="BT244" s="91"/>
      <c r="BV244" s="91"/>
      <c r="BW244" s="88"/>
      <c r="BX244" s="64" t="s">
        <v>248</v>
      </c>
      <c r="BZ244" s="43" t="s">
        <v>249</v>
      </c>
      <c r="CF244" s="43" t="s">
        <v>250</v>
      </c>
      <c r="CK244" s="43" t="s">
        <v>251</v>
      </c>
      <c r="CQ244" s="43" t="s">
        <v>252</v>
      </c>
    </row>
    <row r="245" spans="1:95" x14ac:dyDescent="0.25">
      <c r="A245" s="88"/>
      <c r="B245" s="66" t="s">
        <v>137</v>
      </c>
      <c r="C245" s="67">
        <v>6</v>
      </c>
      <c r="D245" s="65" t="s">
        <v>51</v>
      </c>
      <c r="E245" s="65">
        <v>2.1</v>
      </c>
      <c r="F245" s="65"/>
      <c r="G245" s="65"/>
      <c r="H245" s="65"/>
      <c r="I245" s="65"/>
      <c r="J245" s="65" t="s">
        <v>51</v>
      </c>
      <c r="K245" s="91">
        <v>1.3</v>
      </c>
      <c r="L245" s="65"/>
      <c r="M245" s="65"/>
      <c r="N245" s="65"/>
      <c r="O245" s="65"/>
      <c r="P245" s="65"/>
      <c r="Q245" s="67"/>
      <c r="R245" s="65"/>
      <c r="S245" s="65"/>
      <c r="T245" s="68" t="s">
        <v>37</v>
      </c>
      <c r="U245" s="68" t="s">
        <v>39</v>
      </c>
      <c r="V245" s="68" t="s">
        <v>92</v>
      </c>
      <c r="W245" s="69" t="s">
        <v>91</v>
      </c>
      <c r="X245" s="102"/>
      <c r="Y245" s="137"/>
      <c r="Z245" s="69">
        <v>5</v>
      </c>
      <c r="AA245" s="74" t="s">
        <v>51</v>
      </c>
      <c r="AB245" s="65">
        <v>2.1</v>
      </c>
      <c r="AC245" s="136" t="s">
        <v>137</v>
      </c>
      <c r="AD245" s="65"/>
      <c r="AE245" s="74"/>
      <c r="AF245" s="65"/>
      <c r="AG245" s="65" t="s">
        <v>51</v>
      </c>
      <c r="AH245" s="91">
        <v>1.3</v>
      </c>
    </row>
    <row r="246" spans="1:95" x14ac:dyDescent="0.25">
      <c r="A246" s="88"/>
      <c r="B246" s="68" t="s">
        <v>51</v>
      </c>
      <c r="C246" s="68" t="s">
        <v>37</v>
      </c>
      <c r="D246" s="68" t="s">
        <v>39</v>
      </c>
      <c r="E246" s="68" t="s">
        <v>92</v>
      </c>
      <c r="F246" s="69" t="s">
        <v>91</v>
      </c>
      <c r="G246" s="68"/>
      <c r="H246" s="68" t="s">
        <v>51</v>
      </c>
      <c r="I246" s="68" t="s">
        <v>37</v>
      </c>
      <c r="J246" s="68" t="s">
        <v>39</v>
      </c>
      <c r="K246" s="68" t="s">
        <v>92</v>
      </c>
      <c r="L246" s="69" t="s">
        <v>91</v>
      </c>
      <c r="M246" s="68"/>
      <c r="N246" s="68"/>
      <c r="O246" s="68"/>
      <c r="P246" s="69"/>
      <c r="Q246" s="68"/>
      <c r="R246" s="68"/>
      <c r="S246" s="68"/>
      <c r="T246" s="68">
        <f>(C254+I254)/3.4</f>
        <v>11.296588235294118</v>
      </c>
      <c r="U246" s="68">
        <f t="shared" ref="U246:W246" si="86">(D254+J254)/3.4</f>
        <v>14.685564705882351</v>
      </c>
      <c r="V246" s="68">
        <f t="shared" si="86"/>
        <v>25.020123529411766</v>
      </c>
      <c r="W246" s="68">
        <f t="shared" si="86"/>
        <v>15.065264705882354</v>
      </c>
      <c r="Z246" s="68" t="s">
        <v>51</v>
      </c>
      <c r="AA246" s="137" t="s">
        <v>37</v>
      </c>
      <c r="AB246" s="68" t="s">
        <v>39</v>
      </c>
      <c r="AC246" s="137" t="s">
        <v>92</v>
      </c>
      <c r="AD246" s="69" t="s">
        <v>91</v>
      </c>
      <c r="AF246" s="68" t="s">
        <v>51</v>
      </c>
      <c r="AG246" s="68" t="s">
        <v>37</v>
      </c>
      <c r="AH246" s="68" t="s">
        <v>39</v>
      </c>
      <c r="AI246" s="68" t="s">
        <v>92</v>
      </c>
      <c r="AJ246" s="69" t="s">
        <v>91</v>
      </c>
      <c r="AK246" s="43"/>
      <c r="AL246" s="68" t="s">
        <v>51</v>
      </c>
      <c r="AM246" s="68" t="s">
        <v>37</v>
      </c>
      <c r="AN246" s="68" t="s">
        <v>39</v>
      </c>
      <c r="AO246" s="68" t="s">
        <v>92</v>
      </c>
      <c r="AP246" s="69" t="s">
        <v>91</v>
      </c>
      <c r="AQ246" s="43"/>
      <c r="AR246" s="68" t="s">
        <v>37</v>
      </c>
      <c r="AS246" s="68" t="s">
        <v>39</v>
      </c>
      <c r="AT246" s="68" t="s">
        <v>92</v>
      </c>
      <c r="AU246" s="69" t="s">
        <v>91</v>
      </c>
      <c r="AW246" s="67" t="s">
        <v>96</v>
      </c>
      <c r="AX246" s="68" t="s">
        <v>51</v>
      </c>
      <c r="AY246" s="68" t="s">
        <v>37</v>
      </c>
      <c r="AZ246" s="68" t="s">
        <v>39</v>
      </c>
      <c r="BA246" s="68" t="s">
        <v>92</v>
      </c>
      <c r="BB246" s="69" t="s">
        <v>91</v>
      </c>
      <c r="BC246" s="88"/>
      <c r="BD246" s="68" t="s">
        <v>51</v>
      </c>
      <c r="BE246" s="68" t="s">
        <v>37</v>
      </c>
      <c r="BF246" s="68" t="s">
        <v>39</v>
      </c>
      <c r="BG246" s="68" t="s">
        <v>92</v>
      </c>
      <c r="BH246" s="69" t="s">
        <v>91</v>
      </c>
      <c r="BI246" s="88"/>
      <c r="BJ246" s="68" t="s">
        <v>51</v>
      </c>
      <c r="BK246" s="68" t="s">
        <v>37</v>
      </c>
      <c r="BL246" s="68" t="s">
        <v>39</v>
      </c>
      <c r="BM246" s="68" t="s">
        <v>92</v>
      </c>
      <c r="BN246" s="69" t="s">
        <v>91</v>
      </c>
      <c r="BP246" s="68" t="s">
        <v>37</v>
      </c>
      <c r="BQ246" s="68" t="s">
        <v>39</v>
      </c>
      <c r="BR246" s="68" t="s">
        <v>92</v>
      </c>
      <c r="BS246" s="69" t="s">
        <v>91</v>
      </c>
      <c r="BU246" s="88">
        <v>1</v>
      </c>
      <c r="BV246" s="68" t="s">
        <v>51</v>
      </c>
      <c r="BW246" s="68" t="s">
        <v>37</v>
      </c>
      <c r="BX246" s="68" t="s">
        <v>39</v>
      </c>
      <c r="BY246" s="68" t="s">
        <v>92</v>
      </c>
      <c r="BZ246" s="69" t="s">
        <v>91</v>
      </c>
      <c r="CA246" s="65"/>
      <c r="CB246" s="68" t="s">
        <v>51</v>
      </c>
      <c r="CC246" s="68" t="s">
        <v>37</v>
      </c>
      <c r="CD246" s="68" t="s">
        <v>39</v>
      </c>
      <c r="CE246" s="68" t="s">
        <v>92</v>
      </c>
      <c r="CF246" s="69" t="s">
        <v>91</v>
      </c>
      <c r="CH246" s="68" t="s">
        <v>51</v>
      </c>
      <c r="CI246" s="68" t="s">
        <v>37</v>
      </c>
      <c r="CJ246" s="68" t="s">
        <v>39</v>
      </c>
      <c r="CK246" s="68" t="s">
        <v>92</v>
      </c>
      <c r="CL246" s="69" t="s">
        <v>91</v>
      </c>
      <c r="CN246" s="68" t="s">
        <v>37</v>
      </c>
      <c r="CO246" s="68" t="s">
        <v>39</v>
      </c>
      <c r="CP246" s="68" t="s">
        <v>92</v>
      </c>
      <c r="CQ246" s="69" t="s">
        <v>91</v>
      </c>
    </row>
    <row r="247" spans="1:95" x14ac:dyDescent="0.25">
      <c r="A247" s="88" t="s">
        <v>56</v>
      </c>
      <c r="B247" s="65"/>
      <c r="C247" s="65"/>
      <c r="D247" s="65"/>
      <c r="E247" s="65"/>
      <c r="F247" s="70"/>
      <c r="G247" s="88" t="s">
        <v>56</v>
      </c>
      <c r="H247" s="65">
        <f>AF247</f>
        <v>2.1</v>
      </c>
      <c r="I247" s="65">
        <f>H247*'analisi dei carichi'!E35</f>
        <v>8.8409999999999993</v>
      </c>
      <c r="J247" s="65">
        <f>H247*'analisi dei carichi'!H35</f>
        <v>11.493299999999998</v>
      </c>
      <c r="K247" s="70">
        <f>H247*'analisi dei carichi'!K35</f>
        <v>17.793299999999999</v>
      </c>
      <c r="L247" s="65">
        <f>H247*'analisi dei carichi'!N35</f>
        <v>10.100999999999997</v>
      </c>
      <c r="M247" s="65"/>
      <c r="N247" s="65"/>
      <c r="O247" s="65"/>
      <c r="P247" s="65"/>
      <c r="Q247" s="65"/>
      <c r="R247" s="65"/>
      <c r="S247" s="65"/>
      <c r="T247" s="65"/>
      <c r="U247" s="65"/>
      <c r="Y247" s="134" t="s">
        <v>56</v>
      </c>
      <c r="Z247" s="89"/>
      <c r="AA247" s="115"/>
      <c r="AB247" s="89"/>
      <c r="AC247" s="115"/>
      <c r="AD247" s="90"/>
      <c r="AE247" s="134" t="s">
        <v>56</v>
      </c>
      <c r="AF247" s="89">
        <f>4.2/2</f>
        <v>2.1</v>
      </c>
      <c r="AG247" s="89">
        <f>AF247*'analisi dei carichi'!O28</f>
        <v>10.82676</v>
      </c>
      <c r="AH247" s="89">
        <f>AF247*'analisi dei carichi'!P28</f>
        <v>14.578787999999999</v>
      </c>
      <c r="AI247" s="89">
        <f>AF247*'analisi dei carichi'!K28</f>
        <v>20.878788</v>
      </c>
      <c r="AJ247" s="90">
        <f>AF247*'analisi dei carichi'!N28</f>
        <v>12.08676</v>
      </c>
      <c r="AK247" s="88" t="s">
        <v>56</v>
      </c>
      <c r="AR247" s="91">
        <f>(AA254+AG254+AM253)/3.4</f>
        <v>16.946143529411767</v>
      </c>
      <c r="AS247" s="91">
        <f>(AB254+AH254+AN253)/3.4</f>
        <v>22.222692470588235</v>
      </c>
      <c r="AT247" s="91">
        <f>(AC254+AI254+AO253)/3.4</f>
        <v>32.413868941176474</v>
      </c>
      <c r="AU247" s="91">
        <f>(AD254+AJ254+AP253)/3.4</f>
        <v>20.540849411764711</v>
      </c>
      <c r="AW247" s="88" t="s">
        <v>56</v>
      </c>
      <c r="BC247" s="43" t="str">
        <f t="shared" ref="BC247:BH247" si="87">AE247</f>
        <v>solaio</v>
      </c>
      <c r="BD247" s="43">
        <f t="shared" si="87"/>
        <v>2.1</v>
      </c>
      <c r="BE247" s="43">
        <f t="shared" si="87"/>
        <v>10.82676</v>
      </c>
      <c r="BF247" s="43">
        <f t="shared" si="87"/>
        <v>14.578787999999999</v>
      </c>
      <c r="BG247" s="43">
        <f t="shared" si="87"/>
        <v>20.878788</v>
      </c>
      <c r="BH247" s="43">
        <f t="shared" si="87"/>
        <v>12.08676</v>
      </c>
      <c r="BI247" s="43" t="str">
        <f>AK247</f>
        <v>solaio</v>
      </c>
      <c r="BO247" s="43">
        <f>AQ247</f>
        <v>0</v>
      </c>
      <c r="BP247" s="43">
        <f>AR247</f>
        <v>16.946143529411767</v>
      </c>
      <c r="BQ247" s="43">
        <f>AS247</f>
        <v>22.222692470588235</v>
      </c>
      <c r="BR247" s="43">
        <f>AT247</f>
        <v>32.413868941176474</v>
      </c>
      <c r="BS247" s="43">
        <f>AU247</f>
        <v>20.540849411764711</v>
      </c>
      <c r="BU247" s="88" t="s">
        <v>56</v>
      </c>
      <c r="CA247" s="43" t="str">
        <f t="shared" ref="CA247:CA254" si="88">BC247</f>
        <v>solaio</v>
      </c>
      <c r="CB247" s="43">
        <f t="shared" ref="CB247:CB252" si="89">BD247</f>
        <v>2.1</v>
      </c>
      <c r="CC247" s="43">
        <f t="shared" ref="CC247:CC254" si="90">BE247</f>
        <v>10.82676</v>
      </c>
      <c r="CD247" s="43">
        <f t="shared" ref="CD247:CD254" si="91">BF247</f>
        <v>14.578787999999999</v>
      </c>
      <c r="CE247" s="43">
        <f t="shared" ref="CE247:CE254" si="92">BG247</f>
        <v>20.878788</v>
      </c>
      <c r="CF247" s="43">
        <f t="shared" ref="CF247:CF254" si="93">BH247</f>
        <v>12.08676</v>
      </c>
      <c r="CG247" s="43" t="str">
        <f>BI247</f>
        <v>solaio</v>
      </c>
      <c r="CN247" s="43">
        <f>BP247</f>
        <v>16.946143529411767</v>
      </c>
      <c r="CO247" s="43">
        <f>BQ247</f>
        <v>22.222692470588235</v>
      </c>
      <c r="CP247" s="43">
        <f>BR247</f>
        <v>32.413868941176474</v>
      </c>
      <c r="CQ247" s="43">
        <f>BS247</f>
        <v>20.540849411764711</v>
      </c>
    </row>
    <row r="248" spans="1:95" x14ac:dyDescent="0.25">
      <c r="A248" s="170" t="s">
        <v>340</v>
      </c>
      <c r="B248" s="166">
        <f>Z248</f>
        <v>2.1</v>
      </c>
      <c r="C248" s="166">
        <f t="shared" ref="C248:F248" si="94">AA248</f>
        <v>8.8409999999999993</v>
      </c>
      <c r="D248" s="166">
        <f t="shared" si="94"/>
        <v>11.493299999999998</v>
      </c>
      <c r="E248" s="166">
        <f t="shared" si="94"/>
        <v>24.093299999999999</v>
      </c>
      <c r="F248" s="166">
        <f t="shared" si="94"/>
        <v>13.881</v>
      </c>
      <c r="G248" s="170" t="s">
        <v>340</v>
      </c>
      <c r="H248" s="65">
        <f>H270</f>
        <v>0.5</v>
      </c>
      <c r="I248" s="65">
        <f t="shared" ref="I248:L248" si="95">I270</f>
        <v>1.95</v>
      </c>
      <c r="J248" s="65">
        <f t="shared" si="95"/>
        <v>2.5350000000000001</v>
      </c>
      <c r="K248" s="65">
        <f t="shared" si="95"/>
        <v>2.91</v>
      </c>
      <c r="L248" s="65">
        <f t="shared" si="95"/>
        <v>2.4049999999999994</v>
      </c>
      <c r="M248" s="65"/>
      <c r="N248" s="65"/>
      <c r="O248" s="65"/>
      <c r="P248" s="65"/>
      <c r="Q248" s="65"/>
      <c r="R248" s="65"/>
      <c r="S248" s="65"/>
      <c r="T248" s="65"/>
      <c r="U248" s="65"/>
      <c r="Y248" s="170" t="s">
        <v>340</v>
      </c>
      <c r="Z248" s="89">
        <f>4.2/2</f>
        <v>2.1</v>
      </c>
      <c r="AA248" s="115">
        <f>Z248*'analisi dei carichi'!E32</f>
        <v>8.8409999999999993</v>
      </c>
      <c r="AB248" s="89">
        <f>Z248*'analisi dei carichi'!H32</f>
        <v>11.493299999999998</v>
      </c>
      <c r="AC248" s="115">
        <f>Z248*'analisi dei carichi'!K32</f>
        <v>24.093299999999999</v>
      </c>
      <c r="AD248" s="90">
        <f>Z248*'analisi dei carichi'!N32</f>
        <v>13.881</v>
      </c>
      <c r="AE248" s="170" t="s">
        <v>340</v>
      </c>
      <c r="AF248" s="89"/>
      <c r="AG248" s="89"/>
      <c r="AH248" s="89"/>
      <c r="AI248" s="89"/>
      <c r="AJ248" s="90"/>
      <c r="AK248" s="170" t="s">
        <v>340</v>
      </c>
      <c r="AW248" s="170" t="s">
        <v>340</v>
      </c>
      <c r="AX248" s="43">
        <f>Z248</f>
        <v>2.1</v>
      </c>
      <c r="AY248" s="43">
        <f t="shared" ref="AY248:AY254" si="96">AA248</f>
        <v>8.8409999999999993</v>
      </c>
      <c r="AZ248" s="43">
        <f t="shared" ref="AZ248:AZ254" si="97">AB248</f>
        <v>11.493299999999998</v>
      </c>
      <c r="BA248" s="43">
        <f t="shared" ref="BA248:BA254" si="98">AC248</f>
        <v>24.093299999999999</v>
      </c>
      <c r="BB248" s="43">
        <f t="shared" ref="BB248:BB254" si="99">AD248</f>
        <v>13.881</v>
      </c>
      <c r="BC248" s="43" t="str">
        <f t="shared" ref="BC248:BC254" si="100">AE248</f>
        <v>terrazzino/corn</v>
      </c>
      <c r="BI248" s="43" t="str">
        <f t="shared" ref="BI248:BI253" si="101">AK248</f>
        <v>terrazzino/corn</v>
      </c>
      <c r="BU248" s="170" t="s">
        <v>340</v>
      </c>
      <c r="BV248" s="43">
        <f>AX248</f>
        <v>2.1</v>
      </c>
      <c r="BW248" s="43">
        <f t="shared" ref="BW248:BZ254" si="102">AY248</f>
        <v>8.8409999999999993</v>
      </c>
      <c r="BX248" s="43">
        <f t="shared" si="102"/>
        <v>11.493299999999998</v>
      </c>
      <c r="BY248" s="43">
        <f t="shared" si="102"/>
        <v>24.093299999999999</v>
      </c>
      <c r="BZ248" s="43">
        <f t="shared" si="102"/>
        <v>13.881</v>
      </c>
      <c r="CA248" s="43" t="str">
        <f t="shared" si="88"/>
        <v>terrazzino/corn</v>
      </c>
      <c r="CG248" s="43" t="str">
        <f t="shared" ref="CG248:CG254" si="103">BI248</f>
        <v>terrazzino/corn</v>
      </c>
    </row>
    <row r="249" spans="1:95" x14ac:dyDescent="0.25">
      <c r="A249" s="88" t="s">
        <v>77</v>
      </c>
      <c r="B249" s="166"/>
      <c r="C249" s="65"/>
      <c r="D249" s="65"/>
      <c r="E249" s="65"/>
      <c r="F249" s="70"/>
      <c r="G249" s="88" t="s">
        <v>77</v>
      </c>
      <c r="H249" s="65"/>
      <c r="I249" s="65"/>
      <c r="J249" s="65"/>
      <c r="K249" s="70"/>
      <c r="L249" s="65"/>
      <c r="M249" s="65"/>
      <c r="N249" s="65"/>
      <c r="O249" s="65"/>
      <c r="P249" s="70"/>
      <c r="Q249" s="65"/>
      <c r="R249" s="65"/>
      <c r="S249" s="65"/>
      <c r="T249" s="65"/>
      <c r="U249" s="70"/>
      <c r="Y249" s="134" t="s">
        <v>77</v>
      </c>
      <c r="Z249" s="89"/>
      <c r="AA249" s="115"/>
      <c r="AB249" s="89"/>
      <c r="AC249" s="115"/>
      <c r="AD249" s="90"/>
      <c r="AE249" s="134" t="s">
        <v>77</v>
      </c>
      <c r="AF249" s="89"/>
      <c r="AG249" s="89"/>
      <c r="AH249" s="89"/>
      <c r="AI249" s="89"/>
      <c r="AJ249" s="90"/>
      <c r="AK249" s="88" t="s">
        <v>77</v>
      </c>
      <c r="AW249" s="88" t="s">
        <v>77</v>
      </c>
      <c r="BC249" s="43" t="str">
        <f t="shared" si="100"/>
        <v>scala</v>
      </c>
      <c r="BI249" s="43" t="str">
        <f t="shared" si="101"/>
        <v>scala</v>
      </c>
      <c r="BU249" s="88" t="s">
        <v>77</v>
      </c>
      <c r="CA249" s="43" t="str">
        <f t="shared" si="88"/>
        <v>scala</v>
      </c>
      <c r="CG249" s="43" t="str">
        <f t="shared" si="103"/>
        <v>scala</v>
      </c>
    </row>
    <row r="250" spans="1:95" x14ac:dyDescent="0.25">
      <c r="A250" s="88" t="s">
        <v>78</v>
      </c>
      <c r="B250" s="166"/>
      <c r="C250" s="65"/>
      <c r="D250" s="65"/>
      <c r="E250" s="65"/>
      <c r="F250" s="70"/>
      <c r="G250" s="88" t="s">
        <v>78</v>
      </c>
      <c r="H250" s="65"/>
      <c r="I250" s="65"/>
      <c r="J250" s="65"/>
      <c r="K250" s="70"/>
      <c r="L250" s="65"/>
      <c r="M250" s="65"/>
      <c r="N250" s="65"/>
      <c r="O250" s="65"/>
      <c r="P250" s="70"/>
      <c r="Q250" s="65"/>
      <c r="R250" s="65"/>
      <c r="S250" s="65"/>
      <c r="T250" s="65"/>
      <c r="U250" s="70"/>
      <c r="Y250" s="134" t="s">
        <v>78</v>
      </c>
      <c r="Z250" s="89"/>
      <c r="AA250" s="115"/>
      <c r="AB250" s="89"/>
      <c r="AC250" s="115"/>
      <c r="AD250" s="90"/>
      <c r="AE250" s="134" t="s">
        <v>78</v>
      </c>
      <c r="AF250" s="89"/>
      <c r="AG250" s="89"/>
      <c r="AH250" s="89"/>
      <c r="AI250" s="89"/>
      <c r="AJ250" s="90"/>
      <c r="AK250" s="88" t="s">
        <v>78</v>
      </c>
      <c r="AW250" s="88" t="s">
        <v>78</v>
      </c>
      <c r="BC250" s="43" t="str">
        <f t="shared" si="100"/>
        <v>trave emergente</v>
      </c>
      <c r="BI250" s="43" t="str">
        <f t="shared" si="101"/>
        <v>trave emergente</v>
      </c>
      <c r="BU250" s="88" t="s">
        <v>78</v>
      </c>
      <c r="CA250" s="43" t="str">
        <f t="shared" si="88"/>
        <v>trave emergente</v>
      </c>
      <c r="CG250" s="43" t="str">
        <f t="shared" si="103"/>
        <v>trave emergente</v>
      </c>
    </row>
    <row r="251" spans="1:95" x14ac:dyDescent="0.25">
      <c r="A251" s="88" t="s">
        <v>79</v>
      </c>
      <c r="B251" s="47">
        <f>H251</f>
        <v>1</v>
      </c>
      <c r="C251" s="47">
        <f t="shared" ref="C251:F251" si="104">I251</f>
        <v>1.7100000000000002</v>
      </c>
      <c r="D251" s="47">
        <f t="shared" si="104"/>
        <v>2.2230000000000003</v>
      </c>
      <c r="E251" s="47">
        <f t="shared" si="104"/>
        <v>2.2230000000000003</v>
      </c>
      <c r="F251" s="47">
        <f t="shared" si="104"/>
        <v>1.7100000000000002</v>
      </c>
      <c r="G251" s="88" t="s">
        <v>79</v>
      </c>
      <c r="H251" s="65">
        <f t="shared" ref="H251" si="105">AF251</f>
        <v>1</v>
      </c>
      <c r="I251" s="65">
        <f t="shared" ref="I251" si="106">AG251</f>
        <v>1.7100000000000002</v>
      </c>
      <c r="J251" s="65">
        <f t="shared" ref="J251" si="107">AH251</f>
        <v>2.2230000000000003</v>
      </c>
      <c r="K251" s="65">
        <f t="shared" ref="K251:L251" si="108">AI251</f>
        <v>2.2230000000000003</v>
      </c>
      <c r="L251" s="65">
        <f t="shared" si="108"/>
        <v>1.7100000000000002</v>
      </c>
      <c r="M251" s="65"/>
      <c r="N251" s="65"/>
      <c r="O251" s="65"/>
      <c r="P251" s="65"/>
      <c r="Q251" s="65"/>
      <c r="R251" s="65"/>
      <c r="S251" s="65"/>
      <c r="T251" s="65"/>
      <c r="U251" s="65"/>
      <c r="Y251" s="134" t="s">
        <v>79</v>
      </c>
      <c r="Z251" s="89">
        <f>1</f>
        <v>1</v>
      </c>
      <c r="AA251" s="115">
        <f>Z251*'analisi dei carichi'!E31</f>
        <v>1.7100000000000002</v>
      </c>
      <c r="AB251" s="89">
        <f>Z251*'analisi dei carichi'!H31</f>
        <v>2.2230000000000003</v>
      </c>
      <c r="AC251" s="115">
        <f>Z251*'analisi dei carichi'!K31</f>
        <v>2.2230000000000003</v>
      </c>
      <c r="AD251" s="90">
        <f>Z251*'analisi dei carichi'!N31</f>
        <v>1.7100000000000002</v>
      </c>
      <c r="AE251" s="134" t="s">
        <v>79</v>
      </c>
      <c r="AF251" s="89">
        <f>Z251</f>
        <v>1</v>
      </c>
      <c r="AG251" s="89">
        <f>AA251</f>
        <v>1.7100000000000002</v>
      </c>
      <c r="AH251" s="89">
        <f>AB251</f>
        <v>2.2230000000000003</v>
      </c>
      <c r="AI251" s="89">
        <f>AC251</f>
        <v>2.2230000000000003</v>
      </c>
      <c r="AJ251" s="90">
        <f>AD251</f>
        <v>1.7100000000000002</v>
      </c>
      <c r="AK251" s="88" t="s">
        <v>79</v>
      </c>
      <c r="AW251" s="88" t="s">
        <v>79</v>
      </c>
      <c r="AX251" s="43">
        <f>Z251</f>
        <v>1</v>
      </c>
      <c r="AY251" s="43">
        <f t="shared" si="96"/>
        <v>1.7100000000000002</v>
      </c>
      <c r="AZ251" s="43">
        <f t="shared" si="97"/>
        <v>2.2230000000000003</v>
      </c>
      <c r="BA251" s="43">
        <f t="shared" si="98"/>
        <v>2.2230000000000003</v>
      </c>
      <c r="BB251" s="43">
        <f t="shared" si="99"/>
        <v>1.7100000000000002</v>
      </c>
      <c r="BC251" s="43" t="str">
        <f t="shared" si="100"/>
        <v>trave a spessore</v>
      </c>
      <c r="BD251" s="43">
        <f t="shared" ref="BD251:BH252" si="109">AF251</f>
        <v>1</v>
      </c>
      <c r="BE251" s="43">
        <f t="shared" si="109"/>
        <v>1.7100000000000002</v>
      </c>
      <c r="BF251" s="43">
        <f t="shared" si="109"/>
        <v>2.2230000000000003</v>
      </c>
      <c r="BG251" s="43">
        <f t="shared" si="109"/>
        <v>2.2230000000000003</v>
      </c>
      <c r="BH251" s="43">
        <f t="shared" si="109"/>
        <v>1.7100000000000002</v>
      </c>
      <c r="BI251" s="43" t="str">
        <f t="shared" si="101"/>
        <v>trave a spessore</v>
      </c>
      <c r="BU251" s="88" t="s">
        <v>79</v>
      </c>
      <c r="BV251" s="43">
        <f>AX251</f>
        <v>1</v>
      </c>
      <c r="BW251" s="43">
        <f t="shared" si="102"/>
        <v>1.7100000000000002</v>
      </c>
      <c r="BX251" s="43">
        <f t="shared" si="102"/>
        <v>2.2230000000000003</v>
      </c>
      <c r="BY251" s="43">
        <f t="shared" si="102"/>
        <v>2.2230000000000003</v>
      </c>
      <c r="BZ251" s="43">
        <f t="shared" si="102"/>
        <v>1.7100000000000002</v>
      </c>
      <c r="CA251" s="43" t="str">
        <f t="shared" si="88"/>
        <v>trave a spessore</v>
      </c>
      <c r="CB251" s="43">
        <f t="shared" si="89"/>
        <v>1</v>
      </c>
      <c r="CC251" s="43">
        <f t="shared" si="90"/>
        <v>1.7100000000000002</v>
      </c>
      <c r="CD251" s="43">
        <f t="shared" si="91"/>
        <v>2.2230000000000003</v>
      </c>
      <c r="CE251" s="43">
        <f t="shared" si="92"/>
        <v>2.2230000000000003</v>
      </c>
      <c r="CF251" s="43">
        <f t="shared" si="93"/>
        <v>1.7100000000000002</v>
      </c>
      <c r="CG251" s="43" t="str">
        <f t="shared" si="103"/>
        <v>trave a spessore</v>
      </c>
    </row>
    <row r="252" spans="1:95" x14ac:dyDescent="0.25">
      <c r="A252" s="88" t="s">
        <v>80</v>
      </c>
      <c r="B252" s="71"/>
      <c r="C252" s="71"/>
      <c r="D252" s="71"/>
      <c r="E252" s="71"/>
      <c r="F252" s="72"/>
      <c r="G252" s="88" t="s">
        <v>80</v>
      </c>
      <c r="H252" s="65"/>
      <c r="I252" s="71"/>
      <c r="J252" s="71"/>
      <c r="K252" s="71"/>
      <c r="L252" s="71"/>
      <c r="M252" s="71"/>
      <c r="N252" s="71"/>
      <c r="O252" s="71"/>
      <c r="P252" s="71"/>
      <c r="Q252" s="71"/>
      <c r="R252" s="71"/>
      <c r="S252" s="71"/>
      <c r="T252" s="71"/>
      <c r="U252" s="71"/>
      <c r="Y252" s="134" t="s">
        <v>80</v>
      </c>
      <c r="Z252" s="98"/>
      <c r="AA252" s="141"/>
      <c r="AB252" s="98"/>
      <c r="AC252" s="141"/>
      <c r="AD252" s="99"/>
      <c r="AE252" s="134" t="s">
        <v>80</v>
      </c>
      <c r="AF252" s="98">
        <v>1</v>
      </c>
      <c r="AG252" s="98">
        <f>AF252*'analisi dei carichi'!E29</f>
        <v>5.7200000000000006</v>
      </c>
      <c r="AH252" s="98">
        <f>AF252*'analisi dei carichi'!H29</f>
        <v>7.4360000000000008</v>
      </c>
      <c r="AI252" s="98">
        <f>AF252*'analisi dei carichi'!K29</f>
        <v>7.4360000000000008</v>
      </c>
      <c r="AJ252" s="99">
        <f>AF252*'analisi dei carichi'!N29</f>
        <v>5.7200000000000006</v>
      </c>
      <c r="AK252" s="88" t="s">
        <v>80</v>
      </c>
      <c r="AL252" s="91">
        <f>4.1/2</f>
        <v>2.0499999999999998</v>
      </c>
      <c r="AM252" s="91">
        <f>AL252*'analisi dei carichi'!E29</f>
        <v>11.726000000000001</v>
      </c>
      <c r="AN252" s="91">
        <f>AL252*'analisi dei carichi'!H29</f>
        <v>15.2438</v>
      </c>
      <c r="AO252" s="91">
        <f>AL252*'analisi dei carichi'!K29</f>
        <v>15.2438</v>
      </c>
      <c r="AP252" s="91">
        <f>AL252*'analisi dei carichi'!N29</f>
        <v>11.726000000000001</v>
      </c>
      <c r="AW252" s="88" t="s">
        <v>80</v>
      </c>
      <c r="BC252" s="43" t="str">
        <f t="shared" si="100"/>
        <v>tamponatura</v>
      </c>
      <c r="BD252" s="43">
        <f t="shared" si="109"/>
        <v>1</v>
      </c>
      <c r="BE252" s="43">
        <f t="shared" si="109"/>
        <v>5.7200000000000006</v>
      </c>
      <c r="BF252" s="43">
        <f t="shared" si="109"/>
        <v>7.4360000000000008</v>
      </c>
      <c r="BG252" s="43">
        <f t="shared" si="109"/>
        <v>7.4360000000000008</v>
      </c>
      <c r="BH252" s="43">
        <f t="shared" si="109"/>
        <v>5.7200000000000006</v>
      </c>
      <c r="BI252" s="43" t="str">
        <f t="shared" si="101"/>
        <v>tamponatura</v>
      </c>
      <c r="BJ252" s="43">
        <f t="shared" ref="BJ252:BN253" si="110">AL252</f>
        <v>2.0499999999999998</v>
      </c>
      <c r="BK252" s="43">
        <f t="shared" si="110"/>
        <v>11.726000000000001</v>
      </c>
      <c r="BL252" s="43">
        <f t="shared" si="110"/>
        <v>15.2438</v>
      </c>
      <c r="BM252" s="43">
        <f t="shared" si="110"/>
        <v>15.2438</v>
      </c>
      <c r="BN252" s="43">
        <f t="shared" si="110"/>
        <v>11.726000000000001</v>
      </c>
      <c r="BU252" s="88" t="s">
        <v>80</v>
      </c>
      <c r="CA252" s="43" t="str">
        <f t="shared" si="88"/>
        <v>tamponatura</v>
      </c>
      <c r="CB252" s="43">
        <f t="shared" si="89"/>
        <v>1</v>
      </c>
      <c r="CC252" s="43">
        <f t="shared" si="90"/>
        <v>5.7200000000000006</v>
      </c>
      <c r="CD252" s="43">
        <f t="shared" si="91"/>
        <v>7.4360000000000008</v>
      </c>
      <c r="CE252" s="43">
        <f t="shared" si="92"/>
        <v>7.4360000000000008</v>
      </c>
      <c r="CF252" s="43">
        <f t="shared" si="93"/>
        <v>5.7200000000000006</v>
      </c>
      <c r="CG252" s="43" t="str">
        <f t="shared" si="103"/>
        <v>tamponatura</v>
      </c>
      <c r="CH252" s="43">
        <f>BJ252</f>
        <v>2.0499999999999998</v>
      </c>
      <c r="CI252" s="43">
        <f>BK252</f>
        <v>11.726000000000001</v>
      </c>
      <c r="CJ252" s="43">
        <f>BL252</f>
        <v>15.2438</v>
      </c>
      <c r="CK252" s="43">
        <f>BM252</f>
        <v>15.2438</v>
      </c>
      <c r="CL252" s="43">
        <f>BN252</f>
        <v>11.726000000000001</v>
      </c>
    </row>
    <row r="253" spans="1:95" x14ac:dyDescent="0.25">
      <c r="A253" s="88" t="s">
        <v>55</v>
      </c>
      <c r="B253" s="65"/>
      <c r="C253" s="65">
        <f>SUM(C247:C252)</f>
        <v>10.551</v>
      </c>
      <c r="D253" s="65">
        <f t="shared" ref="D253:F253" si="111">SUM(D247:D252)</f>
        <v>13.716299999999999</v>
      </c>
      <c r="E253" s="65">
        <f t="shared" si="111"/>
        <v>26.316299999999998</v>
      </c>
      <c r="F253" s="65">
        <f t="shared" si="111"/>
        <v>15.591000000000001</v>
      </c>
      <c r="G253" s="88" t="s">
        <v>55</v>
      </c>
      <c r="H253" s="65"/>
      <c r="I253" s="65">
        <f t="shared" ref="I253" si="112">SUM(I247:I252)</f>
        <v>12.500999999999999</v>
      </c>
      <c r="J253" s="65">
        <f t="shared" ref="J253" si="113">SUM(J247:J252)</f>
        <v>16.251299999999997</v>
      </c>
      <c r="K253" s="65">
        <f t="shared" ref="K253" si="114">SUM(K247:K252)</f>
        <v>22.926299999999998</v>
      </c>
      <c r="L253" s="65">
        <f t="shared" ref="L253" si="115">SUM(L247:L252)</f>
        <v>14.215999999999998</v>
      </c>
      <c r="M253" s="65"/>
      <c r="N253" s="65"/>
      <c r="O253" s="65"/>
      <c r="P253" s="65"/>
      <c r="Q253" s="65"/>
      <c r="R253" s="65"/>
      <c r="S253" s="65"/>
      <c r="T253" s="65"/>
      <c r="U253" s="65"/>
      <c r="Y253" s="134" t="s">
        <v>55</v>
      </c>
      <c r="AA253" s="134">
        <f>SUM(AA247:AA252)</f>
        <v>10.551</v>
      </c>
      <c r="AB253" s="91">
        <f>SUM(AB247:AB252)</f>
        <v>13.716299999999999</v>
      </c>
      <c r="AC253" s="134">
        <f>SUM(AC247:AC252)</f>
        <v>26.316299999999998</v>
      </c>
      <c r="AD253" s="91">
        <f>SUM(AD247:AD252)</f>
        <v>15.591000000000001</v>
      </c>
      <c r="AE253" s="134" t="s">
        <v>55</v>
      </c>
      <c r="AG253" s="91">
        <f>SUM(AG247:AG252)</f>
        <v>18.25676</v>
      </c>
      <c r="AH253" s="91">
        <f>SUM(AH247:AH252)</f>
        <v>24.237787999999998</v>
      </c>
      <c r="AI253" s="91">
        <f>SUM(AI247:AI252)</f>
        <v>30.537787999999999</v>
      </c>
      <c r="AJ253" s="91">
        <f>SUM(AJ247:AJ252)</f>
        <v>19.516760000000001</v>
      </c>
      <c r="AK253" s="88" t="s">
        <v>55</v>
      </c>
      <c r="AM253" s="91">
        <f>SUM(AM247:AM252)</f>
        <v>11.726000000000001</v>
      </c>
      <c r="AN253" s="91">
        <f>SUM(AN247:AN252)</f>
        <v>15.2438</v>
      </c>
      <c r="AO253" s="91">
        <f>SUM(AO247:AO252)</f>
        <v>15.2438</v>
      </c>
      <c r="AP253" s="91">
        <f>SUM(AP247:AP252)</f>
        <v>11.726000000000001</v>
      </c>
      <c r="AW253" s="88" t="s">
        <v>55</v>
      </c>
      <c r="AY253" s="43">
        <f t="shared" si="96"/>
        <v>10.551</v>
      </c>
      <c r="AZ253" s="43">
        <f t="shared" si="97"/>
        <v>13.716299999999999</v>
      </c>
      <c r="BA253" s="43">
        <f t="shared" si="98"/>
        <v>26.316299999999998</v>
      </c>
      <c r="BB253" s="43">
        <f t="shared" si="99"/>
        <v>15.591000000000001</v>
      </c>
      <c r="BC253" s="43" t="str">
        <f t="shared" si="100"/>
        <v>totale</v>
      </c>
      <c r="BE253" s="43">
        <f t="shared" ref="BE253:BH254" si="116">AG253</f>
        <v>18.25676</v>
      </c>
      <c r="BF253" s="43">
        <f t="shared" si="116"/>
        <v>24.237787999999998</v>
      </c>
      <c r="BG253" s="43">
        <f t="shared" si="116"/>
        <v>30.537787999999999</v>
      </c>
      <c r="BH253" s="43">
        <f t="shared" si="116"/>
        <v>19.516760000000001</v>
      </c>
      <c r="BI253" s="43" t="str">
        <f t="shared" si="101"/>
        <v>totale</v>
      </c>
      <c r="BJ253" s="43">
        <f t="shared" si="110"/>
        <v>0</v>
      </c>
      <c r="BK253" s="43">
        <f t="shared" si="110"/>
        <v>11.726000000000001</v>
      </c>
      <c r="BL253" s="43">
        <f t="shared" si="110"/>
        <v>15.2438</v>
      </c>
      <c r="BM253" s="43">
        <f t="shared" si="110"/>
        <v>15.2438</v>
      </c>
      <c r="BN253" s="43">
        <f t="shared" si="110"/>
        <v>11.726000000000001</v>
      </c>
      <c r="BU253" s="88" t="s">
        <v>55</v>
      </c>
      <c r="BW253" s="43">
        <f t="shared" si="102"/>
        <v>10.551</v>
      </c>
      <c r="BX253" s="43">
        <f t="shared" si="102"/>
        <v>13.716299999999999</v>
      </c>
      <c r="BY253" s="43">
        <f t="shared" si="102"/>
        <v>26.316299999999998</v>
      </c>
      <c r="BZ253" s="43">
        <f t="shared" si="102"/>
        <v>15.591000000000001</v>
      </c>
      <c r="CA253" s="43" t="str">
        <f t="shared" si="88"/>
        <v>totale</v>
      </c>
      <c r="CC253" s="43">
        <f t="shared" si="90"/>
        <v>18.25676</v>
      </c>
      <c r="CD253" s="43">
        <f t="shared" si="91"/>
        <v>24.237787999999998</v>
      </c>
      <c r="CE253" s="43">
        <f t="shared" si="92"/>
        <v>30.537787999999999</v>
      </c>
      <c r="CF253" s="43">
        <f t="shared" si="93"/>
        <v>19.516760000000001</v>
      </c>
      <c r="CG253" s="43" t="str">
        <f t="shared" si="103"/>
        <v>totale</v>
      </c>
      <c r="CI253" s="43">
        <f>BK253</f>
        <v>11.726000000000001</v>
      </c>
      <c r="CJ253" s="43">
        <f>BL253</f>
        <v>15.2438</v>
      </c>
      <c r="CK253" s="43">
        <f>BM253</f>
        <v>15.2438</v>
      </c>
      <c r="CL253" s="43">
        <f>BN253</f>
        <v>11.726000000000001</v>
      </c>
    </row>
    <row r="254" spans="1:95" x14ac:dyDescent="0.25">
      <c r="C254" s="43">
        <f>C253*$E$245</f>
        <v>22.1571</v>
      </c>
      <c r="D254" s="43">
        <f t="shared" ref="D254:F254" si="117">D253*$E$245</f>
        <v>28.804229999999997</v>
      </c>
      <c r="E254" s="43">
        <f t="shared" si="117"/>
        <v>55.264229999999998</v>
      </c>
      <c r="F254" s="43">
        <f t="shared" si="117"/>
        <v>32.741100000000003</v>
      </c>
      <c r="I254" s="43">
        <f>I253*$K$245</f>
        <v>16.251300000000001</v>
      </c>
      <c r="J254" s="43">
        <f t="shared" ref="J254:L254" si="118">J253*$K$245</f>
        <v>21.126689999999996</v>
      </c>
      <c r="K254" s="43">
        <f t="shared" si="118"/>
        <v>29.804189999999998</v>
      </c>
      <c r="L254" s="43">
        <f t="shared" si="118"/>
        <v>18.480799999999999</v>
      </c>
      <c r="AA254" s="134">
        <f>AA253*$AB$245</f>
        <v>22.1571</v>
      </c>
      <c r="AB254" s="91">
        <f>AB253*$AB$245</f>
        <v>28.804229999999997</v>
      </c>
      <c r="AC254" s="134">
        <f>AC253*$AB$245</f>
        <v>55.264229999999998</v>
      </c>
      <c r="AD254" s="91">
        <f>AD253*$AB$245</f>
        <v>32.741100000000003</v>
      </c>
      <c r="AG254" s="91">
        <f>AG253*$AH$245</f>
        <v>23.733788000000001</v>
      </c>
      <c r="AH254" s="91">
        <f>AH253*$AH$245</f>
        <v>31.509124399999997</v>
      </c>
      <c r="AI254" s="91">
        <f>AI253*$AH$245</f>
        <v>39.699124400000002</v>
      </c>
      <c r="AJ254" s="91">
        <f>AJ253*$AH$245</f>
        <v>25.371788000000002</v>
      </c>
      <c r="AY254" s="43">
        <f t="shared" si="96"/>
        <v>22.1571</v>
      </c>
      <c r="AZ254" s="43">
        <f t="shared" si="97"/>
        <v>28.804229999999997</v>
      </c>
      <c r="BA254" s="43">
        <f t="shared" si="98"/>
        <v>55.264229999999998</v>
      </c>
      <c r="BB254" s="43">
        <f t="shared" si="99"/>
        <v>32.741100000000003</v>
      </c>
      <c r="BC254" s="43">
        <f t="shared" si="100"/>
        <v>0</v>
      </c>
      <c r="BE254" s="43">
        <f t="shared" si="116"/>
        <v>23.733788000000001</v>
      </c>
      <c r="BF254" s="43">
        <f t="shared" si="116"/>
        <v>31.509124399999997</v>
      </c>
      <c r="BG254" s="43">
        <f t="shared" si="116"/>
        <v>39.699124400000002</v>
      </c>
      <c r="BH254" s="43">
        <f t="shared" si="116"/>
        <v>25.371788000000002</v>
      </c>
      <c r="BW254" s="43">
        <f t="shared" si="102"/>
        <v>22.1571</v>
      </c>
      <c r="BX254" s="43">
        <f t="shared" si="102"/>
        <v>28.804229999999997</v>
      </c>
      <c r="BY254" s="43">
        <f t="shared" si="102"/>
        <v>55.264229999999998</v>
      </c>
      <c r="BZ254" s="43">
        <f t="shared" si="102"/>
        <v>32.741100000000003</v>
      </c>
      <c r="CA254" s="43">
        <f t="shared" si="88"/>
        <v>0</v>
      </c>
      <c r="CC254" s="43">
        <f t="shared" si="90"/>
        <v>23.733788000000001</v>
      </c>
      <c r="CD254" s="43">
        <f t="shared" si="91"/>
        <v>31.509124399999997</v>
      </c>
      <c r="CE254" s="43">
        <f t="shared" si="92"/>
        <v>39.699124400000002</v>
      </c>
      <c r="CF254" s="43">
        <f t="shared" si="93"/>
        <v>25.371788000000002</v>
      </c>
      <c r="CG254" s="43">
        <f t="shared" si="103"/>
        <v>0</v>
      </c>
    </row>
    <row r="255" spans="1:95" x14ac:dyDescent="0.25">
      <c r="B255" s="57" t="s">
        <v>76</v>
      </c>
      <c r="C255" s="43" t="s">
        <v>93</v>
      </c>
      <c r="H255" s="43" t="s">
        <v>93</v>
      </c>
      <c r="L255" s="43" t="s">
        <v>93</v>
      </c>
      <c r="Q255" s="43" t="s">
        <v>93</v>
      </c>
    </row>
    <row r="256" spans="1:95" x14ac:dyDescent="0.25">
      <c r="B256" s="50" t="s">
        <v>138</v>
      </c>
      <c r="C256" s="44">
        <v>6</v>
      </c>
      <c r="H256" s="43" t="s">
        <v>95</v>
      </c>
      <c r="L256" s="43" t="s">
        <v>96</v>
      </c>
      <c r="Q256" s="44">
        <v>1</v>
      </c>
    </row>
    <row r="257" spans="1:95" x14ac:dyDescent="0.25">
      <c r="B257" s="47" t="s">
        <v>51</v>
      </c>
      <c r="C257" s="47" t="s">
        <v>37</v>
      </c>
      <c r="D257" s="47" t="s">
        <v>39</v>
      </c>
      <c r="E257" s="47" t="s">
        <v>92</v>
      </c>
      <c r="F257" s="58" t="s">
        <v>91</v>
      </c>
      <c r="G257" s="47" t="s">
        <v>51</v>
      </c>
      <c r="H257" s="47" t="s">
        <v>37</v>
      </c>
      <c r="I257" s="47" t="s">
        <v>39</v>
      </c>
      <c r="J257" s="47" t="s">
        <v>92</v>
      </c>
      <c r="K257" s="58" t="s">
        <v>91</v>
      </c>
      <c r="L257" s="47" t="s">
        <v>51</v>
      </c>
      <c r="M257" s="47" t="s">
        <v>37</v>
      </c>
      <c r="N257" s="47" t="s">
        <v>39</v>
      </c>
      <c r="O257" s="47" t="s">
        <v>92</v>
      </c>
      <c r="P257" s="58" t="s">
        <v>91</v>
      </c>
      <c r="Q257" s="47" t="s">
        <v>51</v>
      </c>
      <c r="R257" s="47" t="s">
        <v>37</v>
      </c>
      <c r="S257" s="47" t="s">
        <v>39</v>
      </c>
      <c r="T257" s="47" t="s">
        <v>92</v>
      </c>
      <c r="U257" s="58" t="s">
        <v>91</v>
      </c>
    </row>
    <row r="258" spans="1:95" x14ac:dyDescent="0.25">
      <c r="A258" s="91" t="s">
        <v>56</v>
      </c>
      <c r="B258" s="43">
        <f>4.1/2</f>
        <v>2.0499999999999998</v>
      </c>
      <c r="C258" s="43">
        <f>B258*'analisi dei carichi'!E35</f>
        <v>8.6304999999999978</v>
      </c>
      <c r="D258" s="43">
        <f>B258*'analisi dei carichi'!H35</f>
        <v>11.219649999999996</v>
      </c>
      <c r="E258" s="43">
        <f>B258*'analisi dei carichi'!K35</f>
        <v>17.369649999999996</v>
      </c>
      <c r="F258" s="46">
        <f>B258*'analisi dei carichi'!N35</f>
        <v>9.8604999999999965</v>
      </c>
      <c r="G258" s="43">
        <f>B258</f>
        <v>2.0499999999999998</v>
      </c>
      <c r="H258" s="43">
        <f>G258*'analisi dei carichi'!O28</f>
        <v>10.568979999999998</v>
      </c>
      <c r="I258" s="43">
        <f>G258*'analisi dei carichi'!P28</f>
        <v>14.231673999999998</v>
      </c>
      <c r="J258" s="43">
        <f>G258*'analisi dei carichi'!K28</f>
        <v>20.381674</v>
      </c>
      <c r="K258" s="46">
        <f>G258*'analisi dei carichi'!N28</f>
        <v>11.798979999999998</v>
      </c>
      <c r="L258" s="43">
        <f>G258</f>
        <v>2.0499999999999998</v>
      </c>
      <c r="M258" s="43">
        <f t="shared" ref="M258:U258" si="119">H258</f>
        <v>10.568979999999998</v>
      </c>
      <c r="N258" s="43">
        <f t="shared" si="119"/>
        <v>14.231673999999998</v>
      </c>
      <c r="O258" s="43">
        <f t="shared" si="119"/>
        <v>20.381674</v>
      </c>
      <c r="P258" s="43">
        <f t="shared" si="119"/>
        <v>11.798979999999998</v>
      </c>
      <c r="Q258" s="43">
        <f t="shared" si="119"/>
        <v>2.0499999999999998</v>
      </c>
      <c r="R258" s="43">
        <f t="shared" si="119"/>
        <v>10.568979999999998</v>
      </c>
      <c r="S258" s="43">
        <f t="shared" si="119"/>
        <v>14.231673999999998</v>
      </c>
      <c r="T258" s="43">
        <f t="shared" si="119"/>
        <v>20.381674</v>
      </c>
      <c r="U258" s="43">
        <f t="shared" si="119"/>
        <v>11.798979999999998</v>
      </c>
    </row>
    <row r="259" spans="1:95" x14ac:dyDescent="0.25">
      <c r="A259" s="170" t="s">
        <v>340</v>
      </c>
      <c r="F259" s="46"/>
      <c r="K259" s="46"/>
      <c r="P259" s="46"/>
      <c r="U259" s="46"/>
    </row>
    <row r="260" spans="1:95" x14ac:dyDescent="0.25">
      <c r="A260" s="91" t="s">
        <v>77</v>
      </c>
      <c r="F260" s="46"/>
      <c r="K260" s="46"/>
      <c r="P260" s="46"/>
      <c r="U260" s="46"/>
    </row>
    <row r="261" spans="1:95" x14ac:dyDescent="0.25">
      <c r="A261" s="91" t="s">
        <v>78</v>
      </c>
      <c r="B261" s="43">
        <v>1</v>
      </c>
      <c r="C261" s="43">
        <f>B261*'analisi dei carichi'!E37</f>
        <v>2.9550000000000001</v>
      </c>
      <c r="D261" s="43">
        <f>B261*'analisi dei carichi'!H37</f>
        <v>3.8415000000000004</v>
      </c>
      <c r="E261" s="43">
        <f>B261*'analisi dei carichi'!K37</f>
        <v>3.8415000000000004</v>
      </c>
      <c r="F261" s="46">
        <f>B261*'analisi dei carichi'!N37</f>
        <v>2.9550000000000001</v>
      </c>
      <c r="G261" s="43">
        <f t="shared" ref="G261:L261" si="120">B261</f>
        <v>1</v>
      </c>
      <c r="H261" s="43">
        <f t="shared" si="120"/>
        <v>2.9550000000000001</v>
      </c>
      <c r="I261" s="43">
        <f t="shared" si="120"/>
        <v>3.8415000000000004</v>
      </c>
      <c r="J261" s="43">
        <f t="shared" si="120"/>
        <v>3.8415000000000004</v>
      </c>
      <c r="K261" s="43">
        <f t="shared" si="120"/>
        <v>2.9550000000000001</v>
      </c>
      <c r="L261" s="43">
        <f t="shared" si="120"/>
        <v>1</v>
      </c>
      <c r="M261" s="43">
        <f>'analisi dei carichi'!E30*L261</f>
        <v>3.7050000000000001</v>
      </c>
      <c r="N261" s="43">
        <f>L261*'analisi dei carichi'!H30</f>
        <v>4.8165000000000004</v>
      </c>
      <c r="O261" s="43">
        <f>L261*'analisi dei carichi'!K30</f>
        <v>4.8165000000000004</v>
      </c>
      <c r="P261" s="46">
        <f>L261*'analisi dei carichi'!N30</f>
        <v>3.7050000000000001</v>
      </c>
      <c r="Q261" s="43">
        <f>L261</f>
        <v>1</v>
      </c>
      <c r="R261" s="43">
        <f>M261</f>
        <v>3.7050000000000001</v>
      </c>
      <c r="S261" s="43">
        <f>N261</f>
        <v>4.8165000000000004</v>
      </c>
      <c r="T261" s="43">
        <f>O261</f>
        <v>4.8165000000000004</v>
      </c>
      <c r="U261" s="43">
        <f>P261</f>
        <v>3.7050000000000001</v>
      </c>
    </row>
    <row r="262" spans="1:95" x14ac:dyDescent="0.25">
      <c r="A262" s="91" t="s">
        <v>79</v>
      </c>
      <c r="F262" s="46"/>
      <c r="K262" s="46"/>
      <c r="P262" s="46"/>
      <c r="U262" s="46"/>
    </row>
    <row r="263" spans="1:95" x14ac:dyDescent="0.25">
      <c r="A263" s="91" t="s">
        <v>80</v>
      </c>
      <c r="B263" s="48">
        <v>0.8</v>
      </c>
      <c r="C263" s="48">
        <f>B263*'analisi dei carichi'!E29</f>
        <v>4.5760000000000005</v>
      </c>
      <c r="D263" s="48">
        <f>B263*'analisi dei carichi'!H29</f>
        <v>5.9488000000000012</v>
      </c>
      <c r="E263" s="48">
        <f>B263*'analisi dei carichi'!K29</f>
        <v>5.9488000000000012</v>
      </c>
      <c r="F263" s="49">
        <f>B263*'analisi dei carichi'!N29</f>
        <v>4.5760000000000005</v>
      </c>
      <c r="G263" s="48">
        <f t="shared" ref="G263:L263" si="121">B263</f>
        <v>0.8</v>
      </c>
      <c r="H263" s="48">
        <f t="shared" si="121"/>
        <v>4.5760000000000005</v>
      </c>
      <c r="I263" s="48">
        <f t="shared" si="121"/>
        <v>5.9488000000000012</v>
      </c>
      <c r="J263" s="48">
        <f t="shared" si="121"/>
        <v>5.9488000000000012</v>
      </c>
      <c r="K263" s="48">
        <f t="shared" si="121"/>
        <v>4.5760000000000005</v>
      </c>
      <c r="L263" s="48">
        <f t="shared" si="121"/>
        <v>0.8</v>
      </c>
      <c r="M263" s="48">
        <f t="shared" ref="M263:T263" si="122">H263</f>
        <v>4.5760000000000005</v>
      </c>
      <c r="N263" s="48">
        <f t="shared" si="122"/>
        <v>5.9488000000000012</v>
      </c>
      <c r="O263" s="48">
        <f t="shared" si="122"/>
        <v>5.9488000000000012</v>
      </c>
      <c r="P263" s="48">
        <f t="shared" si="122"/>
        <v>4.5760000000000005</v>
      </c>
      <c r="Q263" s="48">
        <f t="shared" si="122"/>
        <v>0.8</v>
      </c>
      <c r="R263" s="48">
        <f t="shared" si="122"/>
        <v>4.5760000000000005</v>
      </c>
      <c r="S263" s="48">
        <f t="shared" si="122"/>
        <v>5.9488000000000012</v>
      </c>
      <c r="T263" s="48">
        <f t="shared" si="122"/>
        <v>5.9488000000000012</v>
      </c>
      <c r="U263" s="48">
        <f>P263</f>
        <v>4.5760000000000005</v>
      </c>
    </row>
    <row r="264" spans="1:95" x14ac:dyDescent="0.25">
      <c r="A264" s="91" t="s">
        <v>55</v>
      </c>
      <c r="C264" s="43">
        <f>SUM(C258:C263)</f>
        <v>16.161499999999997</v>
      </c>
      <c r="D264" s="43">
        <f>SUM(D258:D263)</f>
        <v>21.009949999999996</v>
      </c>
      <c r="E264" s="43">
        <f>SUM(E258:E263)</f>
        <v>27.159949999999998</v>
      </c>
      <c r="F264" s="43">
        <f>SUM(F258:F263)</f>
        <v>17.391499999999997</v>
      </c>
      <c r="H264" s="43">
        <f>SUM(H258:H263)</f>
        <v>18.099979999999999</v>
      </c>
      <c r="I264" s="43">
        <f>SUM(I258:I263)</f>
        <v>24.021974</v>
      </c>
      <c r="J264" s="43">
        <f>SUM(J258:J263)</f>
        <v>30.171974000000002</v>
      </c>
      <c r="K264" s="43">
        <f>SUM(K258:K263)</f>
        <v>19.329979999999999</v>
      </c>
      <c r="M264" s="43">
        <f>SUM(M258:M263)</f>
        <v>18.849979999999999</v>
      </c>
      <c r="N264" s="43">
        <f>SUM(N258:N263)</f>
        <v>24.996974000000002</v>
      </c>
      <c r="O264" s="43">
        <f>SUM(O258:O263)</f>
        <v>31.146974000000004</v>
      </c>
      <c r="P264" s="43">
        <f>SUM(P258:P263)</f>
        <v>20.079979999999999</v>
      </c>
      <c r="R264" s="43">
        <f>SUM(R258:R263)</f>
        <v>18.849979999999999</v>
      </c>
      <c r="S264" s="43">
        <f>SUM(S258:S263)</f>
        <v>24.996974000000002</v>
      </c>
      <c r="T264" s="43">
        <f>SUM(T258:T263)</f>
        <v>31.146974000000004</v>
      </c>
      <c r="U264" s="43">
        <f>SUM(U258:U263)</f>
        <v>20.079979999999999</v>
      </c>
    </row>
    <row r="266" spans="1:95" x14ac:dyDescent="0.25">
      <c r="A266" s="88"/>
      <c r="B266" s="64" t="s">
        <v>254</v>
      </c>
      <c r="D266" s="43" t="s">
        <v>249</v>
      </c>
      <c r="J266" s="43" t="s">
        <v>250</v>
      </c>
      <c r="N266" s="43" t="s">
        <v>251</v>
      </c>
      <c r="U266" s="43" t="s">
        <v>252</v>
      </c>
      <c r="Z266" s="64" t="s">
        <v>254</v>
      </c>
      <c r="AA266" s="74"/>
      <c r="AB266" s="43" t="s">
        <v>249</v>
      </c>
      <c r="AC266" s="74"/>
      <c r="AD266" s="43"/>
      <c r="AE266" s="74"/>
      <c r="AF266" s="43"/>
      <c r="AG266" s="43"/>
      <c r="AH266" s="43" t="s">
        <v>250</v>
      </c>
      <c r="AI266" s="43"/>
      <c r="AJ266" s="43"/>
      <c r="AL266" s="43"/>
      <c r="AM266" s="43" t="s">
        <v>251</v>
      </c>
      <c r="AN266" s="43"/>
      <c r="AO266" s="43"/>
      <c r="AP266" s="43"/>
      <c r="AQ266" s="43"/>
      <c r="AR266" s="43"/>
      <c r="AS266" s="43" t="s">
        <v>252</v>
      </c>
      <c r="AW266" s="65"/>
      <c r="AX266" s="64" t="s">
        <v>248</v>
      </c>
      <c r="AZ266" s="43" t="s">
        <v>249</v>
      </c>
      <c r="BF266" s="43" t="s">
        <v>250</v>
      </c>
      <c r="BL266" s="43" t="s">
        <v>251</v>
      </c>
      <c r="BQ266" s="43" t="s">
        <v>252</v>
      </c>
      <c r="BU266" s="65"/>
      <c r="BV266" s="64" t="s">
        <v>248</v>
      </c>
      <c r="BX266" s="43" t="s">
        <v>249</v>
      </c>
      <c r="CD266" s="43" t="s">
        <v>250</v>
      </c>
      <c r="CI266" s="43" t="s">
        <v>251</v>
      </c>
      <c r="CO266" s="43" t="s">
        <v>252</v>
      </c>
    </row>
    <row r="267" spans="1:95" x14ac:dyDescent="0.25">
      <c r="A267" s="88"/>
      <c r="B267" s="66" t="s">
        <v>139</v>
      </c>
      <c r="C267" s="43" t="s">
        <v>51</v>
      </c>
      <c r="D267" s="43">
        <v>2.62</v>
      </c>
      <c r="I267" s="43" t="s">
        <v>51</v>
      </c>
      <c r="J267" s="43">
        <v>2.1</v>
      </c>
      <c r="Z267" s="66" t="s">
        <v>139</v>
      </c>
      <c r="AA267" s="74" t="s">
        <v>51</v>
      </c>
      <c r="AB267" s="43">
        <v>2.62</v>
      </c>
      <c r="AC267" s="74"/>
      <c r="AD267" s="43"/>
      <c r="AE267" s="74"/>
      <c r="AF267" s="43"/>
      <c r="AG267" s="43" t="s">
        <v>51</v>
      </c>
      <c r="AH267" s="43">
        <v>2.1</v>
      </c>
      <c r="AI267" s="43"/>
      <c r="AJ267" s="43"/>
      <c r="AK267" s="43"/>
      <c r="AL267" s="43"/>
      <c r="AM267" s="43"/>
      <c r="AN267" s="43"/>
      <c r="AO267" s="43"/>
      <c r="AP267" s="43"/>
      <c r="AQ267" s="43"/>
      <c r="AR267" s="43"/>
      <c r="AS267" s="43"/>
      <c r="AW267" s="65"/>
      <c r="AX267" s="87" t="s">
        <v>139</v>
      </c>
      <c r="AY267" s="43" t="s">
        <v>51</v>
      </c>
      <c r="AZ267" s="43">
        <v>2.62</v>
      </c>
      <c r="BE267" s="43" t="s">
        <v>51</v>
      </c>
      <c r="BF267" s="43">
        <v>2.1</v>
      </c>
      <c r="BU267" s="65"/>
      <c r="BV267" s="87" t="s">
        <v>139</v>
      </c>
      <c r="BW267" s="43" t="s">
        <v>51</v>
      </c>
      <c r="BX267" s="43">
        <v>2.62</v>
      </c>
      <c r="CC267" s="43" t="s">
        <v>51</v>
      </c>
      <c r="CD267" s="43">
        <v>2.1</v>
      </c>
    </row>
    <row r="268" spans="1:95" x14ac:dyDescent="0.25">
      <c r="A268" s="88">
        <v>6</v>
      </c>
      <c r="B268" s="68" t="s">
        <v>51</v>
      </c>
      <c r="C268" s="68" t="s">
        <v>37</v>
      </c>
      <c r="D268" s="68" t="s">
        <v>39</v>
      </c>
      <c r="E268" s="68" t="s">
        <v>92</v>
      </c>
      <c r="F268" s="69" t="s">
        <v>91</v>
      </c>
      <c r="G268" s="88"/>
      <c r="H268" s="68" t="s">
        <v>51</v>
      </c>
      <c r="I268" s="68" t="s">
        <v>37</v>
      </c>
      <c r="J268" s="68" t="s">
        <v>39</v>
      </c>
      <c r="K268" s="68" t="s">
        <v>92</v>
      </c>
      <c r="L268" s="69" t="s">
        <v>91</v>
      </c>
      <c r="N268" s="68" t="s">
        <v>51</v>
      </c>
      <c r="O268" s="68" t="s">
        <v>37</v>
      </c>
      <c r="P268" s="68" t="s">
        <v>39</v>
      </c>
      <c r="Q268" s="68" t="s">
        <v>92</v>
      </c>
      <c r="R268" s="69" t="s">
        <v>91</v>
      </c>
      <c r="T268" s="68" t="s">
        <v>37</v>
      </c>
      <c r="U268" s="68" t="s">
        <v>39</v>
      </c>
      <c r="V268" s="68" t="s">
        <v>92</v>
      </c>
      <c r="W268" s="69" t="s">
        <v>91</v>
      </c>
      <c r="Y268" s="134">
        <v>5</v>
      </c>
      <c r="Z268" s="68" t="s">
        <v>51</v>
      </c>
      <c r="AA268" s="137" t="s">
        <v>37</v>
      </c>
      <c r="AB268" s="68" t="s">
        <v>39</v>
      </c>
      <c r="AC268" s="137" t="s">
        <v>92</v>
      </c>
      <c r="AD268" s="69" t="s">
        <v>91</v>
      </c>
      <c r="AF268" s="68" t="s">
        <v>51</v>
      </c>
      <c r="AG268" s="68" t="s">
        <v>37</v>
      </c>
      <c r="AH268" s="68" t="s">
        <v>39</v>
      </c>
      <c r="AI268" s="68" t="s">
        <v>92</v>
      </c>
      <c r="AJ268" s="69" t="s">
        <v>91</v>
      </c>
      <c r="AK268" s="43"/>
      <c r="AL268" s="68" t="s">
        <v>51</v>
      </c>
      <c r="AM268" s="68" t="s">
        <v>37</v>
      </c>
      <c r="AN268" s="68" t="s">
        <v>39</v>
      </c>
      <c r="AO268" s="68" t="s">
        <v>92</v>
      </c>
      <c r="AP268" s="69" t="s">
        <v>91</v>
      </c>
      <c r="AQ268" s="43"/>
      <c r="AR268" s="68" t="s">
        <v>37</v>
      </c>
      <c r="AS268" s="68" t="s">
        <v>39</v>
      </c>
      <c r="AT268" s="68" t="s">
        <v>92</v>
      </c>
      <c r="AU268" s="69" t="s">
        <v>91</v>
      </c>
      <c r="AW268" s="67" t="s">
        <v>96</v>
      </c>
      <c r="AX268" s="68" t="s">
        <v>51</v>
      </c>
      <c r="AY268" s="68" t="s">
        <v>37</v>
      </c>
      <c r="AZ268" s="68" t="s">
        <v>39</v>
      </c>
      <c r="BA268" s="68" t="s">
        <v>92</v>
      </c>
      <c r="BB268" s="69" t="s">
        <v>91</v>
      </c>
      <c r="BC268" s="65"/>
      <c r="BD268" s="68" t="s">
        <v>51</v>
      </c>
      <c r="BE268" s="68" t="s">
        <v>37</v>
      </c>
      <c r="BF268" s="68" t="s">
        <v>39</v>
      </c>
      <c r="BG268" s="68" t="s">
        <v>92</v>
      </c>
      <c r="BH268" s="69" t="s">
        <v>91</v>
      </c>
      <c r="BJ268" s="68" t="s">
        <v>51</v>
      </c>
      <c r="BK268" s="68" t="s">
        <v>37</v>
      </c>
      <c r="BL268" s="68" t="s">
        <v>39</v>
      </c>
      <c r="BM268" s="68" t="s">
        <v>92</v>
      </c>
      <c r="BN268" s="69" t="s">
        <v>91</v>
      </c>
      <c r="BP268" s="68" t="s">
        <v>37</v>
      </c>
      <c r="BQ268" s="68" t="s">
        <v>39</v>
      </c>
      <c r="BR268" s="68" t="s">
        <v>92</v>
      </c>
      <c r="BS268" s="69" t="s">
        <v>91</v>
      </c>
      <c r="BU268" s="88">
        <v>1</v>
      </c>
      <c r="BV268" s="68" t="s">
        <v>51</v>
      </c>
      <c r="BW268" s="68" t="s">
        <v>37</v>
      </c>
      <c r="BX268" s="68" t="s">
        <v>39</v>
      </c>
      <c r="BY268" s="68" t="s">
        <v>92</v>
      </c>
      <c r="BZ268" s="69" t="s">
        <v>91</v>
      </c>
      <c r="CA268" s="65"/>
      <c r="CB268" s="68" t="s">
        <v>51</v>
      </c>
      <c r="CC268" s="68" t="s">
        <v>37</v>
      </c>
      <c r="CD268" s="68" t="s">
        <v>39</v>
      </c>
      <c r="CE268" s="68" t="s">
        <v>92</v>
      </c>
      <c r="CF268" s="69" t="s">
        <v>91</v>
      </c>
      <c r="CH268" s="68" t="s">
        <v>51</v>
      </c>
      <c r="CI268" s="68" t="s">
        <v>37</v>
      </c>
      <c r="CJ268" s="68" t="s">
        <v>39</v>
      </c>
      <c r="CK268" s="68" t="s">
        <v>92</v>
      </c>
      <c r="CL268" s="69" t="s">
        <v>91</v>
      </c>
      <c r="CN268" s="68" t="s">
        <v>37</v>
      </c>
      <c r="CO268" s="68" t="s">
        <v>39</v>
      </c>
      <c r="CP268" s="68" t="s">
        <v>92</v>
      </c>
      <c r="CQ268" s="69" t="s">
        <v>91</v>
      </c>
    </row>
    <row r="269" spans="1:95" x14ac:dyDescent="0.25">
      <c r="A269" s="88" t="s">
        <v>56</v>
      </c>
      <c r="B269" s="65">
        <f>4.1/2</f>
        <v>2.0499999999999998</v>
      </c>
      <c r="C269" s="47">
        <f>B269*'analisi dei carichi'!E35</f>
        <v>8.6304999999999978</v>
      </c>
      <c r="D269" s="47">
        <f>B269*'analisi dei carichi'!H35</f>
        <v>11.219649999999996</v>
      </c>
      <c r="E269" s="47">
        <f>B269*'analisi dei carichi'!K35</f>
        <v>17.369649999999996</v>
      </c>
      <c r="F269" s="46">
        <f>B269*'analisi dei carichi'!N35</f>
        <v>9.8604999999999965</v>
      </c>
      <c r="G269" s="88" t="s">
        <v>56</v>
      </c>
      <c r="H269" s="47">
        <v>0.5</v>
      </c>
      <c r="I269" s="47">
        <f>H269*'analisi dei carichi'!E35</f>
        <v>2.1049999999999995</v>
      </c>
      <c r="J269" s="47">
        <f>H269*'analisi dei carichi'!H35</f>
        <v>2.7364999999999995</v>
      </c>
      <c r="K269" s="47">
        <f>H269*'analisi dei carichi'!K35</f>
        <v>4.2364999999999995</v>
      </c>
      <c r="L269" s="46">
        <f>H269*'analisi dei carichi'!N35</f>
        <v>2.4049999999999994</v>
      </c>
      <c r="M269" s="88" t="s">
        <v>56</v>
      </c>
      <c r="N269" s="47"/>
      <c r="O269" s="47"/>
      <c r="P269" s="47"/>
      <c r="Q269" s="47"/>
      <c r="R269" s="46"/>
      <c r="T269" s="43">
        <f>(C276+I276+O275)/4.72</f>
        <v>10.265309322033898</v>
      </c>
      <c r="U269" s="43">
        <f>(D276+J276+P275)/4.72</f>
        <v>13.344902118644066</v>
      </c>
      <c r="V269" s="43">
        <f>(E276+K276+Q275)/4.72</f>
        <v>17.592889406779658</v>
      </c>
      <c r="W269" s="43">
        <f>(F276+L276+R275)/4.72</f>
        <v>11.283974576271186</v>
      </c>
      <c r="Y269" s="134" t="s">
        <v>56</v>
      </c>
      <c r="Z269" s="47">
        <f>B269</f>
        <v>2.0499999999999998</v>
      </c>
      <c r="AA269" s="115">
        <f>Z269*'analisi dei carichi'!O28</f>
        <v>10.568979999999998</v>
      </c>
      <c r="AB269" s="89">
        <f>Z269*'analisi dei carichi'!P28</f>
        <v>14.231673999999998</v>
      </c>
      <c r="AC269" s="115">
        <f>Z269*'analisi dei carichi'!K28</f>
        <v>20.381674</v>
      </c>
      <c r="AD269" s="90">
        <f>Z269*'analisi dei carichi'!N28</f>
        <v>11.798979999999998</v>
      </c>
      <c r="AE269" s="134" t="s">
        <v>56</v>
      </c>
      <c r="AF269" s="47">
        <f>H269</f>
        <v>0.5</v>
      </c>
      <c r="AG269" s="89">
        <f>AF269*'analisi dei carichi'!O28</f>
        <v>2.5777999999999999</v>
      </c>
      <c r="AH269" s="89">
        <f>AF269*'analisi dei carichi'!P28</f>
        <v>3.4711399999999997</v>
      </c>
      <c r="AI269" s="89">
        <f>AF269*'analisi dei carichi'!K28</f>
        <v>4.9711400000000001</v>
      </c>
      <c r="AJ269" s="90">
        <f>AF269*'analisi dei carichi'!N28</f>
        <v>2.8777999999999997</v>
      </c>
      <c r="AK269" s="88" t="s">
        <v>56</v>
      </c>
      <c r="AL269" s="89"/>
      <c r="AM269" s="89"/>
      <c r="AN269" s="89"/>
      <c r="AO269" s="89"/>
      <c r="AP269" s="90"/>
      <c r="AR269" s="91">
        <f>(AA276+AG276+AM275)/4.72</f>
        <v>18.639991016949153</v>
      </c>
      <c r="AS269" s="91">
        <f>(AB276+AH276+AN275)/4.72</f>
        <v>24.55847984745763</v>
      </c>
      <c r="AT269" s="91">
        <f>(AC276+AI276+AO275)/4.72</f>
        <v>28.639623915254241</v>
      </c>
      <c r="AU269" s="91">
        <f>(AD276+AJ276+AP275)/4.72</f>
        <v>19.456219830508477</v>
      </c>
      <c r="AW269" s="88" t="s">
        <v>56</v>
      </c>
      <c r="AX269" s="47">
        <f t="shared" ref="AX269:BI269" si="123">Z269</f>
        <v>2.0499999999999998</v>
      </c>
      <c r="AY269" s="47">
        <f t="shared" si="123"/>
        <v>10.568979999999998</v>
      </c>
      <c r="AZ269" s="47">
        <f t="shared" si="123"/>
        <v>14.231673999999998</v>
      </c>
      <c r="BA269" s="47">
        <f t="shared" si="123"/>
        <v>20.381674</v>
      </c>
      <c r="BB269" s="46">
        <f t="shared" si="123"/>
        <v>11.798979999999998</v>
      </c>
      <c r="BC269" s="43" t="str">
        <f t="shared" si="123"/>
        <v>solaio</v>
      </c>
      <c r="BD269" s="47">
        <f t="shared" si="123"/>
        <v>0.5</v>
      </c>
      <c r="BE269" s="47">
        <f t="shared" si="123"/>
        <v>2.5777999999999999</v>
      </c>
      <c r="BF269" s="47">
        <f t="shared" si="123"/>
        <v>3.4711399999999997</v>
      </c>
      <c r="BG269" s="47">
        <f t="shared" si="123"/>
        <v>4.9711400000000001</v>
      </c>
      <c r="BH269" s="46">
        <f t="shared" si="123"/>
        <v>2.8777999999999997</v>
      </c>
      <c r="BI269" s="43" t="str">
        <f t="shared" si="123"/>
        <v>solaio</v>
      </c>
      <c r="BP269" s="43">
        <f>(AY276+BE276+BK275)/4.72</f>
        <v>19.389991016949157</v>
      </c>
      <c r="BQ269" s="43">
        <f>(AZ276+BF276+BL275)/4.72</f>
        <v>25.533479847457631</v>
      </c>
      <c r="BR269" s="43">
        <f>(BA276+BG276+BM275)/4.72</f>
        <v>29.614623915254242</v>
      </c>
      <c r="BS269" s="43">
        <f>(BB276+BH276+BN275)/4.72</f>
        <v>20.206219830508477</v>
      </c>
      <c r="BU269" s="88" t="s">
        <v>56</v>
      </c>
      <c r="BV269" s="47">
        <f>AX269</f>
        <v>2.0499999999999998</v>
      </c>
      <c r="BW269" s="47">
        <f t="shared" ref="BW269:BZ274" si="124">AY269</f>
        <v>10.568979999999998</v>
      </c>
      <c r="BX269" s="47">
        <f t="shared" si="124"/>
        <v>14.231673999999998</v>
      </c>
      <c r="BY269" s="47">
        <f t="shared" si="124"/>
        <v>20.381674</v>
      </c>
      <c r="BZ269" s="46">
        <f t="shared" si="124"/>
        <v>11.798979999999998</v>
      </c>
      <c r="CA269" s="43" t="str">
        <f t="shared" ref="CA269:CA274" si="125">BC269</f>
        <v>solaio</v>
      </c>
      <c r="CB269" s="47">
        <f t="shared" ref="CB269:CF275" si="126">BD269</f>
        <v>0.5</v>
      </c>
      <c r="CC269" s="47">
        <f t="shared" si="126"/>
        <v>2.5777999999999999</v>
      </c>
      <c r="CD269" s="47">
        <f t="shared" si="126"/>
        <v>3.4711399999999997</v>
      </c>
      <c r="CE269" s="47">
        <f t="shared" si="126"/>
        <v>4.9711400000000001</v>
      </c>
      <c r="CF269" s="46">
        <f t="shared" si="126"/>
        <v>2.8777999999999997</v>
      </c>
      <c r="CG269" s="43" t="str">
        <f t="shared" ref="CG269:CG274" si="127">BI269</f>
        <v>solaio</v>
      </c>
      <c r="CH269" s="47"/>
      <c r="CI269" s="47"/>
      <c r="CJ269" s="47"/>
      <c r="CK269" s="47"/>
      <c r="CL269" s="46"/>
      <c r="CN269" s="43">
        <f>(BW276+CC276+CI275)/4.72</f>
        <v>19.389991016949157</v>
      </c>
      <c r="CO269" s="43">
        <f>(BX276+CD276+CJ275)/4.72</f>
        <v>25.533479847457631</v>
      </c>
      <c r="CP269" s="43">
        <f>(BY276+CE276+CK275)/4.72</f>
        <v>29.614623915254242</v>
      </c>
      <c r="CQ269" s="43">
        <f>(BZ276+CF276+CL275)/4.72</f>
        <v>20.206219830508477</v>
      </c>
    </row>
    <row r="270" spans="1:95" x14ac:dyDescent="0.25">
      <c r="A270" s="170" t="s">
        <v>340</v>
      </c>
      <c r="B270" s="65"/>
      <c r="C270" s="47"/>
      <c r="D270" s="47"/>
      <c r="E270" s="47"/>
      <c r="F270" s="46"/>
      <c r="G270" s="170" t="s">
        <v>340</v>
      </c>
      <c r="H270" s="47">
        <v>0.5</v>
      </c>
      <c r="I270" s="47">
        <f>H270*'analisi dei carichi'!E38</f>
        <v>1.95</v>
      </c>
      <c r="J270" s="47">
        <f>H270*'analisi dei carichi'!H38</f>
        <v>2.5350000000000001</v>
      </c>
      <c r="K270" s="47">
        <f>H270*'analisi dei carichi'!K38</f>
        <v>2.91</v>
      </c>
      <c r="L270" s="46">
        <f>H270*'analisi dei carichi'!N35</f>
        <v>2.4049999999999994</v>
      </c>
      <c r="M270" s="170" t="s">
        <v>340</v>
      </c>
      <c r="N270" s="47"/>
      <c r="O270" s="47"/>
      <c r="P270" s="47"/>
      <c r="Q270" s="47"/>
      <c r="R270" s="46"/>
      <c r="Y270" s="170" t="s">
        <v>340</v>
      </c>
      <c r="Z270" s="47"/>
      <c r="AA270" s="115"/>
      <c r="AB270" s="89"/>
      <c r="AC270" s="115"/>
      <c r="AD270" s="90"/>
      <c r="AE270" s="170" t="s">
        <v>340</v>
      </c>
      <c r="AF270" s="47"/>
      <c r="AG270" s="89"/>
      <c r="AH270" s="89"/>
      <c r="AI270" s="89"/>
      <c r="AJ270" s="90"/>
      <c r="AK270" s="170" t="s">
        <v>340</v>
      </c>
      <c r="AL270" s="89"/>
      <c r="AM270" s="89"/>
      <c r="AN270" s="89"/>
      <c r="AO270" s="89"/>
      <c r="AP270" s="90"/>
      <c r="AW270" s="170" t="s">
        <v>340</v>
      </c>
      <c r="AX270" s="47"/>
      <c r="AY270" s="47"/>
      <c r="AZ270" s="47"/>
      <c r="BA270" s="47"/>
      <c r="BB270" s="46"/>
      <c r="BC270" s="43" t="str">
        <f>AE270</f>
        <v>terrazzino/corn</v>
      </c>
      <c r="BD270" s="47"/>
      <c r="BE270" s="47"/>
      <c r="BF270" s="47"/>
      <c r="BG270" s="47"/>
      <c r="BH270" s="46"/>
      <c r="BI270" s="43" t="str">
        <f>AK270</f>
        <v>terrazzino/corn</v>
      </c>
      <c r="BU270" s="170" t="s">
        <v>340</v>
      </c>
      <c r="BV270" s="47"/>
      <c r="BW270" s="47"/>
      <c r="BX270" s="47"/>
      <c r="BY270" s="47"/>
      <c r="BZ270" s="46"/>
      <c r="CA270" s="43" t="str">
        <f t="shared" si="125"/>
        <v>terrazzino/corn</v>
      </c>
      <c r="CB270" s="47"/>
      <c r="CC270" s="47"/>
      <c r="CD270" s="47"/>
      <c r="CE270" s="47"/>
      <c r="CF270" s="46"/>
      <c r="CG270" s="43" t="str">
        <f t="shared" si="127"/>
        <v>terrazzino/corn</v>
      </c>
      <c r="CH270" s="47"/>
      <c r="CI270" s="47"/>
      <c r="CJ270" s="47"/>
      <c r="CK270" s="47"/>
      <c r="CL270" s="46"/>
    </row>
    <row r="271" spans="1:95" x14ac:dyDescent="0.25">
      <c r="A271" s="88" t="s">
        <v>77</v>
      </c>
      <c r="B271" s="65"/>
      <c r="C271" s="47"/>
      <c r="D271" s="47"/>
      <c r="E271" s="47"/>
      <c r="F271" s="46"/>
      <c r="G271" s="88" t="s">
        <v>77</v>
      </c>
      <c r="H271" s="47"/>
      <c r="I271" s="47"/>
      <c r="J271" s="47"/>
      <c r="K271" s="47"/>
      <c r="L271" s="46"/>
      <c r="M271" s="88" t="s">
        <v>77</v>
      </c>
      <c r="N271" s="47"/>
      <c r="O271" s="47"/>
      <c r="P271" s="47"/>
      <c r="Q271" s="47"/>
      <c r="R271" s="46"/>
      <c r="Y271" s="134" t="s">
        <v>77</v>
      </c>
      <c r="Z271" s="47"/>
      <c r="AA271" s="115"/>
      <c r="AB271" s="89"/>
      <c r="AC271" s="115"/>
      <c r="AD271" s="90"/>
      <c r="AE271" s="134" t="s">
        <v>77</v>
      </c>
      <c r="AF271" s="47"/>
      <c r="AG271" s="89"/>
      <c r="AH271" s="89"/>
      <c r="AI271" s="89"/>
      <c r="AJ271" s="90"/>
      <c r="AK271" s="88" t="s">
        <v>77</v>
      </c>
      <c r="AL271" s="89"/>
      <c r="AM271" s="89"/>
      <c r="AN271" s="89"/>
      <c r="AO271" s="89"/>
      <c r="AP271" s="90"/>
      <c r="AW271" s="88" t="s">
        <v>77</v>
      </c>
      <c r="AX271" s="47"/>
      <c r="AY271" s="47"/>
      <c r="AZ271" s="47"/>
      <c r="BA271" s="47"/>
      <c r="BB271" s="46"/>
      <c r="BC271" s="43" t="str">
        <f>AE271</f>
        <v>scala</v>
      </c>
      <c r="BD271" s="47"/>
      <c r="BE271" s="47"/>
      <c r="BF271" s="47"/>
      <c r="BG271" s="47"/>
      <c r="BH271" s="46"/>
      <c r="BI271" s="43" t="str">
        <f>AK271</f>
        <v>scala</v>
      </c>
      <c r="BU271" s="88" t="s">
        <v>77</v>
      </c>
      <c r="BV271" s="47"/>
      <c r="BW271" s="47"/>
      <c r="BX271" s="47"/>
      <c r="BY271" s="47"/>
      <c r="BZ271" s="46"/>
      <c r="CA271" s="43" t="str">
        <f t="shared" si="125"/>
        <v>scala</v>
      </c>
      <c r="CB271" s="47"/>
      <c r="CC271" s="47"/>
      <c r="CD271" s="47"/>
      <c r="CE271" s="47"/>
      <c r="CF271" s="46"/>
      <c r="CG271" s="43" t="str">
        <f t="shared" si="127"/>
        <v>scala</v>
      </c>
      <c r="CH271" s="47"/>
      <c r="CI271" s="47"/>
      <c r="CJ271" s="47"/>
      <c r="CK271" s="47"/>
      <c r="CL271" s="46"/>
    </row>
    <row r="272" spans="1:95" x14ac:dyDescent="0.25">
      <c r="A272" s="88" t="s">
        <v>78</v>
      </c>
      <c r="B272" s="65">
        <v>1</v>
      </c>
      <c r="C272" s="47">
        <f>B272*'analisi dei carichi'!E37</f>
        <v>2.9550000000000001</v>
      </c>
      <c r="D272" s="47">
        <f>B272*'analisi dei carichi'!H37</f>
        <v>3.8415000000000004</v>
      </c>
      <c r="E272" s="47">
        <f>B272*'analisi dei carichi'!K37</f>
        <v>3.8415000000000004</v>
      </c>
      <c r="F272" s="46">
        <f>B272*'analisi dei carichi'!N37</f>
        <v>2.9550000000000001</v>
      </c>
      <c r="G272" s="88" t="s">
        <v>78</v>
      </c>
      <c r="H272" s="47">
        <f>B272</f>
        <v>1</v>
      </c>
      <c r="I272" s="47">
        <f>C272</f>
        <v>2.9550000000000001</v>
      </c>
      <c r="J272" s="47">
        <f>D272</f>
        <v>3.8415000000000004</v>
      </c>
      <c r="K272" s="47">
        <f>E272</f>
        <v>3.8415000000000004</v>
      </c>
      <c r="L272" s="46">
        <f>F272</f>
        <v>2.9550000000000001</v>
      </c>
      <c r="M272" s="88" t="s">
        <v>78</v>
      </c>
      <c r="N272" s="47"/>
      <c r="O272" s="47"/>
      <c r="P272" s="47"/>
      <c r="Q272" s="47"/>
      <c r="R272" s="46"/>
      <c r="Y272" s="134" t="s">
        <v>78</v>
      </c>
      <c r="Z272" s="47">
        <f>B272</f>
        <v>1</v>
      </c>
      <c r="AA272" s="137">
        <f>C272</f>
        <v>2.9550000000000001</v>
      </c>
      <c r="AB272" s="47">
        <f>D272</f>
        <v>3.8415000000000004</v>
      </c>
      <c r="AC272" s="137">
        <f>E272</f>
        <v>3.8415000000000004</v>
      </c>
      <c r="AD272" s="46">
        <f>F272</f>
        <v>2.9550000000000001</v>
      </c>
      <c r="AE272" s="134" t="s">
        <v>78</v>
      </c>
      <c r="AF272" s="47">
        <f>H272</f>
        <v>1</v>
      </c>
      <c r="AG272" s="47">
        <f>I272</f>
        <v>2.9550000000000001</v>
      </c>
      <c r="AH272" s="47">
        <f>J272</f>
        <v>3.8415000000000004</v>
      </c>
      <c r="AI272" s="47">
        <f>K272</f>
        <v>3.8415000000000004</v>
      </c>
      <c r="AJ272" s="46">
        <f>L272</f>
        <v>2.9550000000000001</v>
      </c>
      <c r="AK272" s="88" t="s">
        <v>78</v>
      </c>
      <c r="AL272" s="89"/>
      <c r="AM272" s="89"/>
      <c r="AN272" s="89"/>
      <c r="AO272" s="89"/>
      <c r="AP272" s="90"/>
      <c r="AW272" s="88" t="s">
        <v>78</v>
      </c>
      <c r="AX272" s="47">
        <f>Z272</f>
        <v>1</v>
      </c>
      <c r="AY272" s="47">
        <f>AX272*'analisi dei carichi'!E30</f>
        <v>3.7050000000000001</v>
      </c>
      <c r="AZ272" s="47">
        <f>AX272*'analisi dei carichi'!H30</f>
        <v>4.8165000000000004</v>
      </c>
      <c r="BA272" s="47">
        <f>AX272*'analisi dei carichi'!K30</f>
        <v>4.8165000000000004</v>
      </c>
      <c r="BB272" s="46">
        <f>AX272*'analisi dei carichi'!N30</f>
        <v>3.7050000000000001</v>
      </c>
      <c r="BC272" s="43" t="str">
        <f>AE272</f>
        <v>trave emergente</v>
      </c>
      <c r="BD272" s="47">
        <f>AX272</f>
        <v>1</v>
      </c>
      <c r="BE272" s="47">
        <f>AY272</f>
        <v>3.7050000000000001</v>
      </c>
      <c r="BF272" s="47">
        <f>AZ272</f>
        <v>4.8165000000000004</v>
      </c>
      <c r="BG272" s="47">
        <f>BA272</f>
        <v>4.8165000000000004</v>
      </c>
      <c r="BH272" s="47">
        <f>BB272</f>
        <v>3.7050000000000001</v>
      </c>
      <c r="BI272" s="43" t="str">
        <f>AK272</f>
        <v>trave emergente</v>
      </c>
      <c r="BU272" s="88" t="s">
        <v>78</v>
      </c>
      <c r="BV272" s="47">
        <f>AX272</f>
        <v>1</v>
      </c>
      <c r="BW272" s="47">
        <f t="shared" si="124"/>
        <v>3.7050000000000001</v>
      </c>
      <c r="BX272" s="47">
        <f t="shared" si="124"/>
        <v>4.8165000000000004</v>
      </c>
      <c r="BY272" s="47">
        <f t="shared" si="124"/>
        <v>4.8165000000000004</v>
      </c>
      <c r="BZ272" s="46">
        <f t="shared" si="124"/>
        <v>3.7050000000000001</v>
      </c>
      <c r="CA272" s="43" t="str">
        <f t="shared" si="125"/>
        <v>trave emergente</v>
      </c>
      <c r="CB272" s="47">
        <f t="shared" si="126"/>
        <v>1</v>
      </c>
      <c r="CC272" s="47">
        <f t="shared" si="126"/>
        <v>3.7050000000000001</v>
      </c>
      <c r="CD272" s="47">
        <f t="shared" si="126"/>
        <v>4.8165000000000004</v>
      </c>
      <c r="CE272" s="47">
        <f t="shared" si="126"/>
        <v>4.8165000000000004</v>
      </c>
      <c r="CF272" s="46">
        <f t="shared" si="126"/>
        <v>3.7050000000000001</v>
      </c>
      <c r="CG272" s="43" t="str">
        <f t="shared" si="127"/>
        <v>trave emergente</v>
      </c>
      <c r="CH272" s="47"/>
      <c r="CI272" s="47"/>
      <c r="CJ272" s="47"/>
      <c r="CK272" s="47"/>
      <c r="CL272" s="46"/>
    </row>
    <row r="273" spans="1:95" x14ac:dyDescent="0.25">
      <c r="A273" s="88" t="s">
        <v>79</v>
      </c>
      <c r="B273" s="65"/>
      <c r="C273" s="47"/>
      <c r="D273" s="47"/>
      <c r="E273" s="47"/>
      <c r="F273" s="46"/>
      <c r="G273" s="88" t="s">
        <v>79</v>
      </c>
      <c r="H273" s="47"/>
      <c r="I273" s="47"/>
      <c r="J273" s="47"/>
      <c r="K273" s="47"/>
      <c r="L273" s="46"/>
      <c r="M273" s="88" t="s">
        <v>79</v>
      </c>
      <c r="N273" s="47">
        <f>3.95/2</f>
        <v>1.9750000000000001</v>
      </c>
      <c r="O273" s="47">
        <f>N273*'analisi dei carichi'!E31</f>
        <v>3.3772500000000005</v>
      </c>
      <c r="P273" s="47">
        <f>N273*'analisi dei carichi'!K31</f>
        <v>4.3904250000000005</v>
      </c>
      <c r="Q273" s="47">
        <f>N273*'analisi dei carichi'!K31</f>
        <v>4.3904250000000005</v>
      </c>
      <c r="R273" s="46">
        <f>N273*'analisi dei carichi'!N31</f>
        <v>3.3772500000000005</v>
      </c>
      <c r="Y273" s="134" t="s">
        <v>79</v>
      </c>
      <c r="Z273" s="47"/>
      <c r="AA273" s="115"/>
      <c r="AB273" s="89"/>
      <c r="AC273" s="115"/>
      <c r="AD273" s="90"/>
      <c r="AE273" s="134" t="s">
        <v>79</v>
      </c>
      <c r="AF273" s="47"/>
      <c r="AG273" s="89"/>
      <c r="AH273" s="89"/>
      <c r="AI273" s="89"/>
      <c r="AJ273" s="90"/>
      <c r="AK273" s="88" t="s">
        <v>79</v>
      </c>
      <c r="AL273" s="47">
        <f>N273</f>
        <v>1.9750000000000001</v>
      </c>
      <c r="AM273" s="47">
        <f>O273</f>
        <v>3.3772500000000005</v>
      </c>
      <c r="AN273" s="47">
        <f>P273</f>
        <v>4.3904250000000005</v>
      </c>
      <c r="AO273" s="47">
        <f>Q273</f>
        <v>4.3904250000000005</v>
      </c>
      <c r="AP273" s="46">
        <f>R273</f>
        <v>3.3772500000000005</v>
      </c>
      <c r="AW273" s="88" t="s">
        <v>79</v>
      </c>
      <c r="AX273" s="47"/>
      <c r="AY273" s="47"/>
      <c r="AZ273" s="47"/>
      <c r="BA273" s="47"/>
      <c r="BB273" s="46"/>
      <c r="BC273" s="43" t="str">
        <f>AE273</f>
        <v>trave a spessore</v>
      </c>
      <c r="BD273" s="47"/>
      <c r="BE273" s="47"/>
      <c r="BF273" s="47"/>
      <c r="BG273" s="47"/>
      <c r="BH273" s="46"/>
      <c r="BI273" s="43" t="str">
        <f>AK273</f>
        <v>trave a spessore</v>
      </c>
      <c r="BJ273" s="43">
        <f>AL273</f>
        <v>1.9750000000000001</v>
      </c>
      <c r="BK273" s="43">
        <f t="shared" ref="BK273:BN274" si="128">AM273</f>
        <v>3.3772500000000005</v>
      </c>
      <c r="BL273" s="43">
        <f t="shared" si="128"/>
        <v>4.3904250000000005</v>
      </c>
      <c r="BM273" s="43">
        <f t="shared" si="128"/>
        <v>4.3904250000000005</v>
      </c>
      <c r="BN273" s="43">
        <f t="shared" si="128"/>
        <v>3.3772500000000005</v>
      </c>
      <c r="BU273" s="88" t="s">
        <v>79</v>
      </c>
      <c r="BV273" s="47"/>
      <c r="BW273" s="47"/>
      <c r="BX273" s="47"/>
      <c r="BY273" s="47"/>
      <c r="BZ273" s="46"/>
      <c r="CA273" s="43" t="str">
        <f t="shared" si="125"/>
        <v>trave a spessore</v>
      </c>
      <c r="CB273" s="47"/>
      <c r="CC273" s="47"/>
      <c r="CD273" s="47"/>
      <c r="CE273" s="47"/>
      <c r="CF273" s="46"/>
      <c r="CG273" s="43" t="str">
        <f t="shared" si="127"/>
        <v>trave a spessore</v>
      </c>
      <c r="CH273" s="47">
        <f t="shared" ref="CH273:CL274" si="129">BJ273</f>
        <v>1.9750000000000001</v>
      </c>
      <c r="CI273" s="47">
        <f t="shared" si="129"/>
        <v>3.3772500000000005</v>
      </c>
      <c r="CJ273" s="47">
        <f t="shared" si="129"/>
        <v>4.3904250000000005</v>
      </c>
      <c r="CK273" s="47">
        <f t="shared" si="129"/>
        <v>4.3904250000000005</v>
      </c>
      <c r="CL273" s="46">
        <f t="shared" si="129"/>
        <v>3.3772500000000005</v>
      </c>
    </row>
    <row r="274" spans="1:95" x14ac:dyDescent="0.25">
      <c r="A274" s="88" t="s">
        <v>80</v>
      </c>
      <c r="C274" s="48"/>
      <c r="D274" s="48"/>
      <c r="E274" s="48"/>
      <c r="F274" s="49"/>
      <c r="G274" s="88" t="s">
        <v>80</v>
      </c>
      <c r="H274" s="48"/>
      <c r="I274" s="48"/>
      <c r="J274" s="48"/>
      <c r="K274" s="48"/>
      <c r="L274" s="49"/>
      <c r="M274" s="88" t="s">
        <v>80</v>
      </c>
      <c r="N274" s="48"/>
      <c r="O274" s="48"/>
      <c r="P274" s="48"/>
      <c r="Q274" s="48"/>
      <c r="R274" s="49"/>
      <c r="Y274" s="134" t="s">
        <v>80</v>
      </c>
      <c r="Z274" s="48">
        <f>AF274</f>
        <v>1</v>
      </c>
      <c r="AA274" s="139">
        <f>AG274</f>
        <v>5.7200000000000006</v>
      </c>
      <c r="AB274" s="48">
        <f>AH274</f>
        <v>7.4360000000000008</v>
      </c>
      <c r="AC274" s="139">
        <f>AI274</f>
        <v>7.4360000000000008</v>
      </c>
      <c r="AD274" s="49">
        <f>AJ274</f>
        <v>5.7200000000000006</v>
      </c>
      <c r="AE274" s="134" t="s">
        <v>80</v>
      </c>
      <c r="AF274" s="71">
        <v>1</v>
      </c>
      <c r="AG274" s="48">
        <f>AF274*'analisi dei carichi'!E29</f>
        <v>5.7200000000000006</v>
      </c>
      <c r="AH274" s="48">
        <f>AF274*'analisi dei carichi'!H29</f>
        <v>7.4360000000000008</v>
      </c>
      <c r="AI274" s="48">
        <f>AF274*'analisi dei carichi'!K29</f>
        <v>7.4360000000000008</v>
      </c>
      <c r="AJ274" s="49">
        <f>AF274*'analisi dei carichi'!N29</f>
        <v>5.7200000000000006</v>
      </c>
      <c r="AK274" s="88" t="s">
        <v>80</v>
      </c>
      <c r="AL274" s="48">
        <f>(4.1/2)*0.9</f>
        <v>1.845</v>
      </c>
      <c r="AM274" s="48">
        <f>AG274*AL274</f>
        <v>10.553400000000002</v>
      </c>
      <c r="AN274" s="48">
        <f>AH274*AL274</f>
        <v>13.719420000000001</v>
      </c>
      <c r="AO274" s="48">
        <f>AI274*AL274</f>
        <v>13.719420000000001</v>
      </c>
      <c r="AP274" s="48">
        <f>AJ274*AL274</f>
        <v>10.553400000000002</v>
      </c>
      <c r="AW274" s="88" t="s">
        <v>80</v>
      </c>
      <c r="AX274" s="48">
        <f>Z274</f>
        <v>1</v>
      </c>
      <c r="AY274" s="48">
        <f>AA274</f>
        <v>5.7200000000000006</v>
      </c>
      <c r="AZ274" s="48">
        <f>AB274</f>
        <v>7.4360000000000008</v>
      </c>
      <c r="BA274" s="48">
        <f>AC274</f>
        <v>7.4360000000000008</v>
      </c>
      <c r="BB274" s="48">
        <f>AD274</f>
        <v>5.7200000000000006</v>
      </c>
      <c r="BC274" s="43" t="str">
        <f>AE274</f>
        <v>tamponatura</v>
      </c>
      <c r="BD274" s="48">
        <f>AF274</f>
        <v>1</v>
      </c>
      <c r="BE274" s="48">
        <f>AG274</f>
        <v>5.7200000000000006</v>
      </c>
      <c r="BF274" s="48">
        <f>AH274</f>
        <v>7.4360000000000008</v>
      </c>
      <c r="BG274" s="48">
        <f>AI274</f>
        <v>7.4360000000000008</v>
      </c>
      <c r="BH274" s="48">
        <f>AJ274</f>
        <v>5.7200000000000006</v>
      </c>
      <c r="BI274" s="43" t="str">
        <f>AK274</f>
        <v>tamponatura</v>
      </c>
      <c r="BJ274" s="43">
        <f>AL274</f>
        <v>1.845</v>
      </c>
      <c r="BK274" s="43">
        <f t="shared" si="128"/>
        <v>10.553400000000002</v>
      </c>
      <c r="BL274" s="43">
        <f t="shared" si="128"/>
        <v>13.719420000000001</v>
      </c>
      <c r="BM274" s="43">
        <f t="shared" si="128"/>
        <v>13.719420000000001</v>
      </c>
      <c r="BN274" s="43">
        <f t="shared" si="128"/>
        <v>10.553400000000002</v>
      </c>
      <c r="BU274" s="88" t="s">
        <v>80</v>
      </c>
      <c r="BV274" s="48">
        <f>AX274</f>
        <v>1</v>
      </c>
      <c r="BW274" s="48">
        <f t="shared" si="124"/>
        <v>5.7200000000000006</v>
      </c>
      <c r="BX274" s="48">
        <f t="shared" si="124"/>
        <v>7.4360000000000008</v>
      </c>
      <c r="BY274" s="48">
        <f t="shared" si="124"/>
        <v>7.4360000000000008</v>
      </c>
      <c r="BZ274" s="49">
        <f t="shared" si="124"/>
        <v>5.7200000000000006</v>
      </c>
      <c r="CA274" s="43" t="str">
        <f t="shared" si="125"/>
        <v>tamponatura</v>
      </c>
      <c r="CB274" s="48">
        <f t="shared" si="126"/>
        <v>1</v>
      </c>
      <c r="CC274" s="48">
        <f t="shared" si="126"/>
        <v>5.7200000000000006</v>
      </c>
      <c r="CD274" s="48">
        <f t="shared" si="126"/>
        <v>7.4360000000000008</v>
      </c>
      <c r="CE274" s="48">
        <f t="shared" si="126"/>
        <v>7.4360000000000008</v>
      </c>
      <c r="CF274" s="49">
        <f t="shared" si="126"/>
        <v>5.7200000000000006</v>
      </c>
      <c r="CG274" s="43" t="str">
        <f t="shared" si="127"/>
        <v>tamponatura</v>
      </c>
      <c r="CH274" s="48">
        <f t="shared" si="129"/>
        <v>1.845</v>
      </c>
      <c r="CI274" s="48">
        <f t="shared" si="129"/>
        <v>10.553400000000002</v>
      </c>
      <c r="CJ274" s="48">
        <f t="shared" si="129"/>
        <v>13.719420000000001</v>
      </c>
      <c r="CK274" s="48">
        <f t="shared" si="129"/>
        <v>13.719420000000001</v>
      </c>
      <c r="CL274" s="49">
        <f t="shared" si="129"/>
        <v>10.553400000000002</v>
      </c>
    </row>
    <row r="275" spans="1:95" x14ac:dyDescent="0.25">
      <c r="A275" s="88" t="s">
        <v>55</v>
      </c>
      <c r="B275" s="65"/>
      <c r="C275" s="43">
        <f>SUM(C268:C274)</f>
        <v>11.585499999999998</v>
      </c>
      <c r="D275" s="43">
        <f>SUM(D268:D274)</f>
        <v>15.061149999999996</v>
      </c>
      <c r="E275" s="43">
        <f>SUM(E268:E274)</f>
        <v>21.211149999999996</v>
      </c>
      <c r="F275" s="43">
        <f>SUM(F268:F274)</f>
        <v>12.815499999999997</v>
      </c>
      <c r="G275" s="88" t="s">
        <v>55</v>
      </c>
      <c r="I275" s="43">
        <f>SUM(I269:I274)</f>
        <v>7.01</v>
      </c>
      <c r="J275" s="43">
        <f>SUM(J269:J274)</f>
        <v>9.1129999999999995</v>
      </c>
      <c r="K275" s="43">
        <f>SUM(K269:K274)</f>
        <v>10.988</v>
      </c>
      <c r="L275" s="43">
        <f>SUM(L269:L274)</f>
        <v>7.7649999999999988</v>
      </c>
      <c r="M275" s="88" t="s">
        <v>55</v>
      </c>
      <c r="O275" s="43">
        <f>SUM(O273:O274)</f>
        <v>3.3772500000000005</v>
      </c>
      <c r="P275" s="43">
        <f>SUM(P273:P274)</f>
        <v>4.3904250000000005</v>
      </c>
      <c r="Q275" s="43">
        <f>SUM(Q273:Q274)</f>
        <v>4.3904250000000005</v>
      </c>
      <c r="R275" s="43">
        <f>SUM(R273:R274)</f>
        <v>3.3772500000000005</v>
      </c>
      <c r="Y275" s="134" t="s">
        <v>55</v>
      </c>
      <c r="AA275" s="134">
        <f>SUM(AA269:AA274)</f>
        <v>19.243980000000001</v>
      </c>
      <c r="AB275" s="91">
        <f>SUM(AB269:AB274)</f>
        <v>25.509173999999998</v>
      </c>
      <c r="AC275" s="134">
        <f>SUM(AC269:AC274)</f>
        <v>31.659174</v>
      </c>
      <c r="AD275" s="91">
        <f>SUM(AD269:AD274)</f>
        <v>20.473979999999997</v>
      </c>
      <c r="AE275" s="134" t="s">
        <v>55</v>
      </c>
      <c r="AF275" s="89"/>
      <c r="AG275" s="89">
        <f>SUM(AG269:AG274)</f>
        <v>11.252800000000001</v>
      </c>
      <c r="AH275" s="89">
        <f>SUM(AH269:AH274)</f>
        <v>14.748640000000002</v>
      </c>
      <c r="AI275" s="89">
        <f>SUM(AI269:AI274)</f>
        <v>16.248640000000002</v>
      </c>
      <c r="AJ275" s="89">
        <f>SUM(AJ269:AJ274)</f>
        <v>11.552800000000001</v>
      </c>
      <c r="AK275" s="88" t="s">
        <v>55</v>
      </c>
      <c r="AM275" s="43">
        <f>SUM(AM273:AM274)</f>
        <v>13.930650000000002</v>
      </c>
      <c r="AN275" s="43">
        <f>SUM(AN273:AN274)</f>
        <v>18.109845</v>
      </c>
      <c r="AO275" s="43">
        <f>SUM(AO273:AO274)</f>
        <v>18.109845</v>
      </c>
      <c r="AP275" s="43">
        <f>SUM(AP273:AP274)</f>
        <v>13.930650000000002</v>
      </c>
      <c r="AW275" s="88" t="s">
        <v>55</v>
      </c>
      <c r="AY275" s="43">
        <f>SUM(AY269:AY274)</f>
        <v>19.993980000000001</v>
      </c>
      <c r="AZ275" s="43">
        <f>SUM(AZ269:AZ274)</f>
        <v>26.484173999999999</v>
      </c>
      <c r="BA275" s="43">
        <f>SUM(BA269:BA274)</f>
        <v>32.634174000000002</v>
      </c>
      <c r="BB275" s="43">
        <f>SUM(BB269:BB274)</f>
        <v>21.223979999999997</v>
      </c>
      <c r="BE275" s="43">
        <f>SUM(BE269:BE274)</f>
        <v>12.002800000000001</v>
      </c>
      <c r="BF275" s="43">
        <f>SUM(BF269:BF274)</f>
        <v>15.72364</v>
      </c>
      <c r="BG275" s="43">
        <f>SUM(BG269:BG274)</f>
        <v>17.22364</v>
      </c>
      <c r="BH275" s="43">
        <f>SUM(BH269:BH274)</f>
        <v>12.302800000000001</v>
      </c>
      <c r="BK275" s="43">
        <f>AM275</f>
        <v>13.930650000000002</v>
      </c>
      <c r="BL275" s="43">
        <f>AN275</f>
        <v>18.109845</v>
      </c>
      <c r="BM275" s="43">
        <f>AO275</f>
        <v>18.109845</v>
      </c>
      <c r="BN275" s="43">
        <f>AP275</f>
        <v>13.930650000000002</v>
      </c>
      <c r="BU275" s="88" t="s">
        <v>55</v>
      </c>
      <c r="BW275" s="43">
        <f t="shared" ref="BW275:BZ276" si="130">AY275</f>
        <v>19.993980000000001</v>
      </c>
      <c r="BX275" s="43">
        <f t="shared" si="130"/>
        <v>26.484173999999999</v>
      </c>
      <c r="BY275" s="43">
        <f t="shared" si="130"/>
        <v>32.634174000000002</v>
      </c>
      <c r="BZ275" s="43">
        <f t="shared" si="130"/>
        <v>21.223979999999997</v>
      </c>
      <c r="CC275" s="43">
        <f t="shared" si="126"/>
        <v>12.002800000000001</v>
      </c>
      <c r="CD275" s="43">
        <f t="shared" si="126"/>
        <v>15.72364</v>
      </c>
      <c r="CE275" s="43">
        <f t="shared" si="126"/>
        <v>17.22364</v>
      </c>
      <c r="CF275" s="43">
        <f t="shared" si="126"/>
        <v>12.302800000000001</v>
      </c>
      <c r="CI275" s="43">
        <f>BK275</f>
        <v>13.930650000000002</v>
      </c>
      <c r="CJ275" s="43">
        <f>BL275</f>
        <v>18.109845</v>
      </c>
      <c r="CK275" s="43">
        <f>BM275</f>
        <v>18.109845</v>
      </c>
      <c r="CL275" s="43">
        <f>BN275</f>
        <v>13.930650000000002</v>
      </c>
    </row>
    <row r="276" spans="1:95" x14ac:dyDescent="0.25">
      <c r="C276" s="43">
        <f>$D$267*C275</f>
        <v>30.354009999999995</v>
      </c>
      <c r="D276" s="43">
        <f>$D$267*D275</f>
        <v>39.460212999999989</v>
      </c>
      <c r="E276" s="43">
        <f>$D$267*E275</f>
        <v>55.573212999999996</v>
      </c>
      <c r="F276" s="43">
        <f>$D$267*F275</f>
        <v>33.576609999999995</v>
      </c>
      <c r="I276" s="43">
        <f>I275*$J$267</f>
        <v>14.721</v>
      </c>
      <c r="J276" s="43">
        <f>J275*$J$267</f>
        <v>19.1373</v>
      </c>
      <c r="K276" s="43">
        <f>K275*$J$267</f>
        <v>23.0748</v>
      </c>
      <c r="L276" s="43">
        <f>L275*$J$267</f>
        <v>16.3065</v>
      </c>
      <c r="AA276" s="134">
        <f>$D$267*AA275</f>
        <v>50.419227600000006</v>
      </c>
      <c r="AB276" s="91">
        <f>$D$267*AB275</f>
        <v>66.834035880000002</v>
      </c>
      <c r="AC276" s="134">
        <f>$D$267*AC275</f>
        <v>82.947035880000001</v>
      </c>
      <c r="AD276" s="91">
        <f>$D$267*AD275</f>
        <v>53.641827599999992</v>
      </c>
      <c r="AG276" s="91">
        <f>AG275*$J$267</f>
        <v>23.630880000000001</v>
      </c>
      <c r="AH276" s="91">
        <f>AH275*$J$267</f>
        <v>30.972144000000004</v>
      </c>
      <c r="AI276" s="91">
        <f>AI275*$J$267</f>
        <v>34.122144000000006</v>
      </c>
      <c r="AJ276" s="91">
        <f>AJ275*$J$267</f>
        <v>24.260880000000004</v>
      </c>
      <c r="AY276" s="43">
        <f>$AZ$267*AY275</f>
        <v>52.384227600000003</v>
      </c>
      <c r="AZ276" s="43">
        <f>$D$267*AZ275</f>
        <v>69.388535880000006</v>
      </c>
      <c r="BA276" s="43">
        <f>$D$267*BA275</f>
        <v>85.501535880000006</v>
      </c>
      <c r="BB276" s="43">
        <f>$D$267*BB275</f>
        <v>55.606827599999995</v>
      </c>
      <c r="BE276" s="43">
        <f>BE275*$BF$267</f>
        <v>25.205880000000001</v>
      </c>
      <c r="BF276" s="43">
        <f>BF275*$BF$267</f>
        <v>33.019644</v>
      </c>
      <c r="BG276" s="43">
        <f>BG275*$BF$267</f>
        <v>36.169643999999998</v>
      </c>
      <c r="BH276" s="43">
        <f>BH275*$BF$267</f>
        <v>25.835880000000003</v>
      </c>
      <c r="BU276" s="88"/>
      <c r="BW276" s="43">
        <f t="shared" si="130"/>
        <v>52.384227600000003</v>
      </c>
      <c r="BX276" s="43">
        <f t="shared" si="130"/>
        <v>69.388535880000006</v>
      </c>
      <c r="BY276" s="43">
        <f t="shared" si="130"/>
        <v>85.501535880000006</v>
      </c>
      <c r="BZ276" s="43">
        <f t="shared" si="130"/>
        <v>55.606827599999995</v>
      </c>
      <c r="CC276" s="43">
        <f>BE276</f>
        <v>25.205880000000001</v>
      </c>
      <c r="CD276" s="43">
        <f>BF276</f>
        <v>33.019644</v>
      </c>
      <c r="CE276" s="43">
        <f>BG276</f>
        <v>36.169643999999998</v>
      </c>
      <c r="CF276" s="43">
        <f>BH276</f>
        <v>25.835880000000003</v>
      </c>
    </row>
    <row r="277" spans="1:95" x14ac:dyDescent="0.25">
      <c r="C277" s="63" t="s">
        <v>140</v>
      </c>
      <c r="D277" s="62" t="s">
        <v>135</v>
      </c>
    </row>
    <row r="278" spans="1:95" x14ac:dyDescent="0.25">
      <c r="A278" s="43" t="s">
        <v>93</v>
      </c>
      <c r="B278" s="64" t="s">
        <v>254</v>
      </c>
      <c r="D278" s="43" t="s">
        <v>249</v>
      </c>
      <c r="J278" s="43" t="s">
        <v>250</v>
      </c>
      <c r="N278" s="43" t="s">
        <v>251</v>
      </c>
      <c r="U278" s="43" t="s">
        <v>252</v>
      </c>
      <c r="Z278" s="64" t="s">
        <v>254</v>
      </c>
      <c r="AA278" s="74"/>
      <c r="AB278" s="43" t="s">
        <v>249</v>
      </c>
      <c r="AC278" s="74"/>
      <c r="AD278" s="43"/>
      <c r="AE278" s="74"/>
      <c r="AF278" s="43"/>
      <c r="AG278" s="43"/>
      <c r="AH278" s="43" t="s">
        <v>250</v>
      </c>
      <c r="AI278" s="43"/>
      <c r="AJ278" s="43"/>
      <c r="AL278" s="43"/>
      <c r="AM278" s="43" t="s">
        <v>251</v>
      </c>
      <c r="AN278" s="43"/>
      <c r="AO278" s="43"/>
      <c r="AP278" s="43"/>
      <c r="AQ278" s="43"/>
      <c r="AR278" s="43"/>
      <c r="AS278" s="43" t="s">
        <v>252</v>
      </c>
      <c r="AW278" s="65"/>
      <c r="AX278" s="64" t="s">
        <v>248</v>
      </c>
      <c r="AZ278" s="43" t="s">
        <v>249</v>
      </c>
      <c r="BF278" s="43" t="s">
        <v>250</v>
      </c>
      <c r="BL278" s="43" t="s">
        <v>251</v>
      </c>
      <c r="BQ278" s="43" t="s">
        <v>252</v>
      </c>
      <c r="BU278" s="65"/>
      <c r="BV278" s="64" t="s">
        <v>248</v>
      </c>
      <c r="BX278" s="43" t="s">
        <v>249</v>
      </c>
      <c r="CD278" s="43" t="s">
        <v>250</v>
      </c>
      <c r="CI278" s="43" t="s">
        <v>251</v>
      </c>
      <c r="CO278" s="43" t="s">
        <v>252</v>
      </c>
    </row>
    <row r="279" spans="1:95" x14ac:dyDescent="0.25">
      <c r="A279" s="67">
        <v>6</v>
      </c>
      <c r="B279" s="66" t="s">
        <v>141</v>
      </c>
      <c r="C279" s="65" t="s">
        <v>51</v>
      </c>
      <c r="D279" s="65">
        <v>2.1</v>
      </c>
      <c r="F279" s="65"/>
      <c r="G279" s="65"/>
      <c r="H279" s="65"/>
      <c r="J279" s="43">
        <v>1.3</v>
      </c>
      <c r="K279" s="65"/>
      <c r="L279" s="65"/>
      <c r="M279" s="65"/>
      <c r="N279" s="65"/>
      <c r="O279" s="65"/>
      <c r="P279" s="65"/>
      <c r="Q279" s="67"/>
      <c r="R279" s="65"/>
      <c r="S279" s="65"/>
      <c r="T279" s="65"/>
      <c r="U279" s="65"/>
      <c r="AB279" s="65" t="s">
        <v>51</v>
      </c>
      <c r="AC279" s="74">
        <v>2.1</v>
      </c>
      <c r="AD279" s="43"/>
      <c r="AE279" s="74"/>
      <c r="AF279" s="65"/>
      <c r="AG279" s="65"/>
      <c r="AH279" s="43" t="s">
        <v>51</v>
      </c>
      <c r="AI279" s="43">
        <v>1.3</v>
      </c>
    </row>
    <row r="280" spans="1:95" x14ac:dyDescent="0.25">
      <c r="A280" s="88"/>
      <c r="B280" s="68" t="s">
        <v>51</v>
      </c>
      <c r="C280" s="68" t="s">
        <v>37</v>
      </c>
      <c r="D280" s="68" t="s">
        <v>39</v>
      </c>
      <c r="E280" s="68" t="s">
        <v>92</v>
      </c>
      <c r="F280" s="69" t="s">
        <v>91</v>
      </c>
      <c r="G280" s="88"/>
      <c r="H280" s="68" t="s">
        <v>51</v>
      </c>
      <c r="I280" s="68" t="s">
        <v>37</v>
      </c>
      <c r="J280" s="68" t="s">
        <v>39</v>
      </c>
      <c r="K280" s="68" t="s">
        <v>92</v>
      </c>
      <c r="L280" s="69" t="s">
        <v>91</v>
      </c>
      <c r="M280" s="88"/>
      <c r="N280" s="68" t="s">
        <v>51</v>
      </c>
      <c r="O280" s="68" t="s">
        <v>37</v>
      </c>
      <c r="P280" s="68" t="s">
        <v>39</v>
      </c>
      <c r="Q280" s="68" t="s">
        <v>92</v>
      </c>
      <c r="R280" s="69" t="s">
        <v>91</v>
      </c>
      <c r="T280" s="68" t="s">
        <v>37</v>
      </c>
      <c r="U280" s="68" t="s">
        <v>39</v>
      </c>
      <c r="V280" s="68" t="s">
        <v>92</v>
      </c>
      <c r="W280" s="69" t="s">
        <v>91</v>
      </c>
      <c r="Y280" s="134">
        <v>5</v>
      </c>
      <c r="Z280" s="68" t="s">
        <v>51</v>
      </c>
      <c r="AA280" s="137" t="s">
        <v>37</v>
      </c>
      <c r="AB280" s="68" t="s">
        <v>39</v>
      </c>
      <c r="AC280" s="137" t="s">
        <v>92</v>
      </c>
      <c r="AD280" s="69" t="s">
        <v>91</v>
      </c>
      <c r="AF280" s="68" t="s">
        <v>51</v>
      </c>
      <c r="AG280" s="68" t="s">
        <v>37</v>
      </c>
      <c r="AH280" s="68" t="s">
        <v>39</v>
      </c>
      <c r="AI280" s="68" t="s">
        <v>92</v>
      </c>
      <c r="AJ280" s="69" t="s">
        <v>91</v>
      </c>
      <c r="AK280" s="43"/>
      <c r="AL280" s="68" t="s">
        <v>51</v>
      </c>
      <c r="AM280" s="68" t="s">
        <v>37</v>
      </c>
      <c r="AN280" s="68" t="s">
        <v>39</v>
      </c>
      <c r="AO280" s="68" t="s">
        <v>92</v>
      </c>
      <c r="AP280" s="69" t="s">
        <v>91</v>
      </c>
      <c r="AQ280" s="43"/>
      <c r="AR280" s="68" t="s">
        <v>37</v>
      </c>
      <c r="AS280" s="68" t="s">
        <v>39</v>
      </c>
      <c r="AT280" s="68" t="s">
        <v>92</v>
      </c>
      <c r="AU280" s="69" t="s">
        <v>91</v>
      </c>
      <c r="AW280" s="67" t="s">
        <v>96</v>
      </c>
      <c r="AX280" s="68" t="s">
        <v>51</v>
      </c>
      <c r="AY280" s="68" t="s">
        <v>37</v>
      </c>
      <c r="AZ280" s="68" t="s">
        <v>39</v>
      </c>
      <c r="BA280" s="68" t="s">
        <v>92</v>
      </c>
      <c r="BB280" s="69" t="s">
        <v>91</v>
      </c>
      <c r="BC280" s="65"/>
      <c r="BD280" s="68" t="s">
        <v>51</v>
      </c>
      <c r="BE280" s="68" t="s">
        <v>37</v>
      </c>
      <c r="BF280" s="68" t="s">
        <v>39</v>
      </c>
      <c r="BG280" s="68" t="s">
        <v>92</v>
      </c>
      <c r="BH280" s="69" t="s">
        <v>91</v>
      </c>
      <c r="BJ280" s="68" t="s">
        <v>51</v>
      </c>
      <c r="BK280" s="68" t="s">
        <v>37</v>
      </c>
      <c r="BL280" s="68" t="s">
        <v>39</v>
      </c>
      <c r="BM280" s="68" t="s">
        <v>92</v>
      </c>
      <c r="BN280" s="69" t="s">
        <v>91</v>
      </c>
      <c r="BP280" s="68" t="s">
        <v>37</v>
      </c>
      <c r="BQ280" s="68" t="s">
        <v>39</v>
      </c>
      <c r="BR280" s="68" t="s">
        <v>92</v>
      </c>
      <c r="BS280" s="69" t="s">
        <v>91</v>
      </c>
      <c r="BU280" s="88">
        <v>1</v>
      </c>
      <c r="BV280" s="68" t="s">
        <v>51</v>
      </c>
      <c r="BW280" s="68" t="s">
        <v>37</v>
      </c>
      <c r="BX280" s="68" t="s">
        <v>39</v>
      </c>
      <c r="BY280" s="68" t="s">
        <v>92</v>
      </c>
      <c r="BZ280" s="69" t="s">
        <v>91</v>
      </c>
      <c r="CA280" s="65"/>
      <c r="CB280" s="68" t="s">
        <v>51</v>
      </c>
      <c r="CC280" s="68" t="s">
        <v>37</v>
      </c>
      <c r="CD280" s="68" t="s">
        <v>39</v>
      </c>
      <c r="CE280" s="68" t="s">
        <v>92</v>
      </c>
      <c r="CF280" s="69" t="s">
        <v>91</v>
      </c>
      <c r="CH280" s="68" t="s">
        <v>51</v>
      </c>
      <c r="CI280" s="68" t="s">
        <v>37</v>
      </c>
      <c r="CJ280" s="68" t="s">
        <v>39</v>
      </c>
      <c r="CK280" s="68" t="s">
        <v>92</v>
      </c>
      <c r="CL280" s="69" t="s">
        <v>91</v>
      </c>
      <c r="CN280" s="68" t="s">
        <v>37</v>
      </c>
      <c r="CO280" s="68" t="s">
        <v>39</v>
      </c>
      <c r="CP280" s="68" t="s">
        <v>92</v>
      </c>
      <c r="CQ280" s="69" t="s">
        <v>91</v>
      </c>
    </row>
    <row r="281" spans="1:95" x14ac:dyDescent="0.25">
      <c r="A281" s="88" t="s">
        <v>56</v>
      </c>
      <c r="B281" s="68"/>
      <c r="C281" s="68"/>
      <c r="D281" s="68"/>
      <c r="E281" s="68"/>
      <c r="F281" s="70"/>
      <c r="G281" s="88" t="s">
        <v>56</v>
      </c>
      <c r="H281" s="68">
        <f>AF281</f>
        <v>2.21</v>
      </c>
      <c r="I281" s="68">
        <f>H281*'analisi dei carichi'!E35</f>
        <v>9.3040999999999983</v>
      </c>
      <c r="J281" s="68">
        <f>H281*'analisi dei carichi'!H35</f>
        <v>12.095329999999997</v>
      </c>
      <c r="K281" s="68">
        <f>H281*'analisi dei carichi'!K35</f>
        <v>18.725329999999996</v>
      </c>
      <c r="L281" s="68">
        <f>H281*'analisi dei carichi'!N35</f>
        <v>10.630099999999997</v>
      </c>
      <c r="M281" s="88" t="s">
        <v>56</v>
      </c>
      <c r="N281" s="68"/>
      <c r="O281" s="68"/>
      <c r="P281" s="68"/>
      <c r="Q281" s="68"/>
      <c r="R281" s="68"/>
      <c r="S281" s="68"/>
      <c r="T281" s="68">
        <f>(C288+I288+O287)/3.4</f>
        <v>11.759688235294117</v>
      </c>
      <c r="U281" s="68">
        <f t="shared" ref="U281:W281" si="131">(D288+J288+P287)/3.4</f>
        <v>15.28759470588235</v>
      </c>
      <c r="V281" s="68">
        <f t="shared" si="131"/>
        <v>26.155977058823527</v>
      </c>
      <c r="W281" s="68">
        <f t="shared" si="131"/>
        <v>15.716658823529411</v>
      </c>
      <c r="Y281" s="134" t="s">
        <v>56</v>
      </c>
      <c r="Z281" s="89"/>
      <c r="AA281" s="115"/>
      <c r="AB281" s="89"/>
      <c r="AC281" s="115"/>
      <c r="AD281" s="90"/>
      <c r="AE281" s="134" t="s">
        <v>56</v>
      </c>
      <c r="AF281" s="89">
        <f>4.42/2</f>
        <v>2.21</v>
      </c>
      <c r="AG281" s="89">
        <f>AF281*'analisi dei carichi'!O28</f>
        <v>11.393875999999999</v>
      </c>
      <c r="AH281" s="89">
        <f>AF281*'analisi dei carichi'!P28</f>
        <v>15.342438799999998</v>
      </c>
      <c r="AI281" s="89">
        <f>AF281*'analisi dei carichi'!K28</f>
        <v>21.972438799999999</v>
      </c>
      <c r="AJ281" s="90">
        <f>AF281*'analisi dei carichi'!N28</f>
        <v>12.719875999999999</v>
      </c>
      <c r="AK281" s="88" t="s">
        <v>56</v>
      </c>
      <c r="AL281" s="89"/>
      <c r="AM281" s="89"/>
      <c r="AN281" s="89"/>
      <c r="AO281" s="89"/>
      <c r="AP281" s="89"/>
      <c r="AR281" s="91">
        <f>(AA288+AG288+AM287)/3.4</f>
        <v>17.617249647058824</v>
      </c>
      <c r="AS281" s="91">
        <f>(AB288+AH288+AN287)/3.4</f>
        <v>23.105224541176472</v>
      </c>
      <c r="AT281" s="91">
        <f>(AC288+AI288+AO287)/3.4</f>
        <v>33.83022454117647</v>
      </c>
      <c r="AU281" s="91">
        <f>(AD288+AJ288+AP287)/3.4</f>
        <v>21.400249647058821</v>
      </c>
      <c r="AW281" s="88" t="s">
        <v>56</v>
      </c>
      <c r="BC281" s="43" t="str">
        <f t="shared" ref="BC281:BH281" si="132">AE281</f>
        <v>solaio</v>
      </c>
      <c r="BD281" s="43">
        <f t="shared" si="132"/>
        <v>2.21</v>
      </c>
      <c r="BE281" s="43">
        <f t="shared" si="132"/>
        <v>11.393875999999999</v>
      </c>
      <c r="BF281" s="43">
        <f t="shared" si="132"/>
        <v>15.342438799999998</v>
      </c>
      <c r="BG281" s="43">
        <f t="shared" si="132"/>
        <v>21.972438799999999</v>
      </c>
      <c r="BH281" s="43">
        <f t="shared" si="132"/>
        <v>12.719875999999999</v>
      </c>
      <c r="BI281" s="43" t="str">
        <f>AK281</f>
        <v>solaio</v>
      </c>
      <c r="BP281" s="43">
        <f>AR281</f>
        <v>17.617249647058824</v>
      </c>
      <c r="BQ281" s="43">
        <f>AS281</f>
        <v>23.105224541176472</v>
      </c>
      <c r="BR281" s="43">
        <f>AT281</f>
        <v>33.83022454117647</v>
      </c>
      <c r="BS281" s="43">
        <f>AU281</f>
        <v>21.400249647058821</v>
      </c>
      <c r="BU281" s="43" t="str">
        <f>AW281</f>
        <v>solaio</v>
      </c>
      <c r="CA281" s="43" t="str">
        <f t="shared" ref="CA281:CF281" si="133">BC281</f>
        <v>solaio</v>
      </c>
      <c r="CB281" s="43">
        <f t="shared" si="133"/>
        <v>2.21</v>
      </c>
      <c r="CC281" s="43">
        <f t="shared" si="133"/>
        <v>11.393875999999999</v>
      </c>
      <c r="CD281" s="43">
        <f t="shared" si="133"/>
        <v>15.342438799999998</v>
      </c>
      <c r="CE281" s="43">
        <f t="shared" si="133"/>
        <v>21.972438799999999</v>
      </c>
      <c r="CF281" s="43">
        <f t="shared" si="133"/>
        <v>12.719875999999999</v>
      </c>
      <c r="CG281" s="43" t="str">
        <f>BI281</f>
        <v>solaio</v>
      </c>
      <c r="CN281" s="43">
        <f>BP281</f>
        <v>17.617249647058824</v>
      </c>
      <c r="CO281" s="43">
        <f>BQ281</f>
        <v>23.105224541176472</v>
      </c>
      <c r="CP281" s="43">
        <f>BR281</f>
        <v>33.83022454117647</v>
      </c>
      <c r="CQ281" s="43">
        <f>BS281</f>
        <v>21.400249647058821</v>
      </c>
    </row>
    <row r="282" spans="1:95" x14ac:dyDescent="0.25">
      <c r="A282" s="170" t="s">
        <v>340</v>
      </c>
      <c r="B282" s="68">
        <f t="shared" ref="B282:B285" si="134">Z282</f>
        <v>2.21</v>
      </c>
      <c r="C282" s="68">
        <f t="shared" ref="C282" si="135">AA282</f>
        <v>9.3040999999999983</v>
      </c>
      <c r="D282" s="68">
        <f t="shared" ref="D282" si="136">AB282</f>
        <v>12.095329999999997</v>
      </c>
      <c r="E282" s="68">
        <f t="shared" ref="E282" si="137">AC282</f>
        <v>25.355329999999999</v>
      </c>
      <c r="F282" s="68">
        <f t="shared" ref="F282" si="138">AD282</f>
        <v>14.608099999999999</v>
      </c>
      <c r="G282" s="170" t="s">
        <v>340</v>
      </c>
      <c r="H282" s="68">
        <f>H270</f>
        <v>0.5</v>
      </c>
      <c r="I282" s="68">
        <f t="shared" ref="I282:L282" si="139">I270</f>
        <v>1.95</v>
      </c>
      <c r="J282" s="68">
        <f t="shared" si="139"/>
        <v>2.5350000000000001</v>
      </c>
      <c r="K282" s="68">
        <f t="shared" si="139"/>
        <v>2.91</v>
      </c>
      <c r="L282" s="68">
        <f t="shared" si="139"/>
        <v>2.4049999999999994</v>
      </c>
      <c r="M282" s="170" t="s">
        <v>340</v>
      </c>
      <c r="N282" s="68"/>
      <c r="O282" s="68"/>
      <c r="V282" s="43"/>
      <c r="W282" s="43"/>
      <c r="Y282" s="170" t="s">
        <v>340</v>
      </c>
      <c r="Z282" s="89">
        <f>4.42/2</f>
        <v>2.21</v>
      </c>
      <c r="AA282" s="115">
        <f>Z282*'analisi dei carichi'!E32</f>
        <v>9.3040999999999983</v>
      </c>
      <c r="AB282" s="89">
        <f>Z282*'analisi dei carichi'!H32</f>
        <v>12.095329999999997</v>
      </c>
      <c r="AC282" s="115">
        <f>Z282*'analisi dei carichi'!K32</f>
        <v>25.355329999999999</v>
      </c>
      <c r="AD282" s="90">
        <f>Z282*'analisi dei carichi'!N32</f>
        <v>14.608099999999999</v>
      </c>
      <c r="AE282" s="170" t="s">
        <v>340</v>
      </c>
      <c r="AF282" s="89"/>
      <c r="AG282" s="89"/>
      <c r="AH282" s="89"/>
      <c r="AI282" s="89"/>
      <c r="AJ282" s="90"/>
      <c r="AK282" s="170" t="s">
        <v>340</v>
      </c>
      <c r="AL282" s="89"/>
      <c r="AM282" s="89"/>
      <c r="AN282" s="89"/>
      <c r="AO282" s="89"/>
      <c r="AP282" s="89"/>
      <c r="AW282" s="170" t="s">
        <v>340</v>
      </c>
      <c r="AX282" s="43">
        <f>Z282</f>
        <v>2.21</v>
      </c>
      <c r="AY282" s="43">
        <f t="shared" ref="AY282:AY287" si="140">AA282</f>
        <v>9.3040999999999983</v>
      </c>
      <c r="AZ282" s="43">
        <f t="shared" ref="AZ282:AZ287" si="141">AB282</f>
        <v>12.095329999999997</v>
      </c>
      <c r="BA282" s="43">
        <f t="shared" ref="BA282:BA287" si="142">AC282</f>
        <v>25.355329999999999</v>
      </c>
      <c r="BB282" s="43">
        <f t="shared" ref="BB282:BB287" si="143">AD282</f>
        <v>14.608099999999999</v>
      </c>
      <c r="BC282" s="43" t="str">
        <f t="shared" ref="BC282:BC287" si="144">AE282</f>
        <v>terrazzino/corn</v>
      </c>
      <c r="BI282" s="43" t="str">
        <f t="shared" ref="BI282:BI287" si="145">AK282</f>
        <v>terrazzino/corn</v>
      </c>
      <c r="BU282" s="43" t="str">
        <f t="shared" ref="BU282:BU288" si="146">AW282</f>
        <v>terrazzino/corn</v>
      </c>
      <c r="BV282" s="43">
        <f>AX282</f>
        <v>2.21</v>
      </c>
      <c r="BW282" s="43">
        <f t="shared" ref="BW282:BW288" si="147">AY282</f>
        <v>9.3040999999999983</v>
      </c>
      <c r="BX282" s="43">
        <f t="shared" ref="BX282:BX288" si="148">AZ282</f>
        <v>12.095329999999997</v>
      </c>
      <c r="BY282" s="43">
        <f t="shared" ref="BY282:BY288" si="149">BA282</f>
        <v>25.355329999999999</v>
      </c>
      <c r="BZ282" s="43">
        <f t="shared" ref="BZ282:BZ288" si="150">BB282</f>
        <v>14.608099999999999</v>
      </c>
      <c r="CA282" s="43" t="str">
        <f t="shared" ref="CA282:CA288" si="151">BC282</f>
        <v>terrazzino/corn</v>
      </c>
      <c r="CG282" s="43" t="str">
        <f t="shared" ref="CG282:CG288" si="152">BI282</f>
        <v>terrazzino/corn</v>
      </c>
    </row>
    <row r="283" spans="1:95" x14ac:dyDescent="0.25">
      <c r="A283" s="88" t="s">
        <v>77</v>
      </c>
      <c r="B283" s="68"/>
      <c r="C283" s="68"/>
      <c r="D283" s="68"/>
      <c r="E283" s="68"/>
      <c r="F283" s="70"/>
      <c r="G283" s="88" t="s">
        <v>77</v>
      </c>
      <c r="H283" s="68"/>
      <c r="I283" s="68"/>
      <c r="J283" s="68"/>
      <c r="K283" s="68"/>
      <c r="L283" s="68"/>
      <c r="M283" s="88" t="s">
        <v>77</v>
      </c>
      <c r="N283" s="68"/>
      <c r="O283" s="68"/>
      <c r="V283" s="43"/>
      <c r="W283" s="43"/>
      <c r="X283" s="102"/>
      <c r="Y283" s="134" t="s">
        <v>77</v>
      </c>
      <c r="Z283" s="89"/>
      <c r="AA283" s="115"/>
      <c r="AB283" s="89"/>
      <c r="AC283" s="115"/>
      <c r="AD283" s="90"/>
      <c r="AE283" s="134" t="s">
        <v>77</v>
      </c>
      <c r="AF283" s="89"/>
      <c r="AG283" s="89"/>
      <c r="AH283" s="89"/>
      <c r="AI283" s="89"/>
      <c r="AJ283" s="90"/>
      <c r="AK283" s="88" t="s">
        <v>77</v>
      </c>
      <c r="AL283" s="89"/>
      <c r="AM283" s="89"/>
      <c r="AN283" s="89"/>
      <c r="AO283" s="89"/>
      <c r="AP283" s="89"/>
      <c r="AW283" s="88" t="s">
        <v>77</v>
      </c>
      <c r="BC283" s="43" t="str">
        <f t="shared" si="144"/>
        <v>scala</v>
      </c>
      <c r="BI283" s="43" t="str">
        <f t="shared" si="145"/>
        <v>scala</v>
      </c>
      <c r="BU283" s="43" t="str">
        <f t="shared" si="146"/>
        <v>scala</v>
      </c>
      <c r="CA283" s="43" t="str">
        <f t="shared" si="151"/>
        <v>scala</v>
      </c>
      <c r="CG283" s="43" t="str">
        <f t="shared" si="152"/>
        <v>scala</v>
      </c>
    </row>
    <row r="284" spans="1:95" x14ac:dyDescent="0.25">
      <c r="A284" s="88" t="s">
        <v>78</v>
      </c>
      <c r="B284" s="68"/>
      <c r="C284" s="68"/>
      <c r="D284" s="68"/>
      <c r="E284" s="68"/>
      <c r="F284" s="70"/>
      <c r="G284" s="88" t="s">
        <v>78</v>
      </c>
      <c r="H284" s="68"/>
      <c r="I284" s="68"/>
      <c r="J284" s="68"/>
      <c r="K284" s="68"/>
      <c r="L284" s="68"/>
      <c r="M284" s="88" t="s">
        <v>78</v>
      </c>
      <c r="N284" s="68"/>
      <c r="O284" s="68"/>
      <c r="V284" s="43"/>
      <c r="W284" s="43"/>
      <c r="Y284" s="134" t="s">
        <v>78</v>
      </c>
      <c r="Z284" s="89"/>
      <c r="AA284" s="115"/>
      <c r="AB284" s="89"/>
      <c r="AC284" s="115"/>
      <c r="AD284" s="90"/>
      <c r="AE284" s="134" t="s">
        <v>78</v>
      </c>
      <c r="AF284" s="89"/>
      <c r="AG284" s="89"/>
      <c r="AH284" s="89"/>
      <c r="AI284" s="89"/>
      <c r="AJ284" s="90"/>
      <c r="AK284" s="88" t="s">
        <v>78</v>
      </c>
      <c r="AL284" s="89"/>
      <c r="AM284" s="89"/>
      <c r="AN284" s="89"/>
      <c r="AO284" s="89"/>
      <c r="AP284" s="89"/>
      <c r="AW284" s="88" t="s">
        <v>78</v>
      </c>
      <c r="BC284" s="43" t="str">
        <f t="shared" si="144"/>
        <v>trave emergente</v>
      </c>
      <c r="BI284" s="43" t="str">
        <f t="shared" si="145"/>
        <v>trave emergente</v>
      </c>
      <c r="BU284" s="43" t="str">
        <f t="shared" si="146"/>
        <v>trave emergente</v>
      </c>
      <c r="CA284" s="43" t="str">
        <f t="shared" si="151"/>
        <v>trave emergente</v>
      </c>
      <c r="CG284" s="43" t="str">
        <f t="shared" si="152"/>
        <v>trave emergente</v>
      </c>
    </row>
    <row r="285" spans="1:95" x14ac:dyDescent="0.25">
      <c r="A285" s="88" t="s">
        <v>79</v>
      </c>
      <c r="B285" s="68">
        <f t="shared" si="134"/>
        <v>1</v>
      </c>
      <c r="C285" s="68">
        <f t="shared" ref="C285" si="153">AA285</f>
        <v>1.7100000000000002</v>
      </c>
      <c r="D285" s="68">
        <f t="shared" ref="D285" si="154">AB285</f>
        <v>2.2230000000000003</v>
      </c>
      <c r="E285" s="68">
        <f t="shared" ref="E285" si="155">AC285</f>
        <v>2.2230000000000003</v>
      </c>
      <c r="F285" s="68">
        <f t="shared" ref="F285" si="156">AD285</f>
        <v>1.7100000000000002</v>
      </c>
      <c r="G285" s="88" t="s">
        <v>79</v>
      </c>
      <c r="H285" s="68">
        <f>B285</f>
        <v>1</v>
      </c>
      <c r="I285" s="68">
        <f t="shared" ref="I285:L285" si="157">C285</f>
        <v>1.7100000000000002</v>
      </c>
      <c r="J285" s="68">
        <f t="shared" si="157"/>
        <v>2.2230000000000003</v>
      </c>
      <c r="K285" s="68">
        <f t="shared" si="157"/>
        <v>2.2230000000000003</v>
      </c>
      <c r="L285" s="68">
        <f t="shared" si="157"/>
        <v>1.7100000000000002</v>
      </c>
      <c r="M285" s="88" t="s">
        <v>79</v>
      </c>
      <c r="N285" s="68"/>
      <c r="O285" s="68"/>
      <c r="V285" s="43"/>
      <c r="W285" s="43"/>
      <c r="Y285" s="134" t="s">
        <v>79</v>
      </c>
      <c r="Z285" s="89">
        <f>1</f>
        <v>1</v>
      </c>
      <c r="AA285" s="115">
        <f>Z285*'analisi dei carichi'!E31</f>
        <v>1.7100000000000002</v>
      </c>
      <c r="AB285" s="89">
        <f>Z285*'analisi dei carichi'!H31</f>
        <v>2.2230000000000003</v>
      </c>
      <c r="AC285" s="115">
        <f>Z285*'analisi dei carichi'!K31</f>
        <v>2.2230000000000003</v>
      </c>
      <c r="AD285" s="90">
        <f>Z285*'analisi dei carichi'!N31</f>
        <v>1.7100000000000002</v>
      </c>
      <c r="AE285" s="134" t="s">
        <v>79</v>
      </c>
      <c r="AF285" s="89">
        <f>Z285</f>
        <v>1</v>
      </c>
      <c r="AG285" s="89">
        <f>AA285</f>
        <v>1.7100000000000002</v>
      </c>
      <c r="AH285" s="89">
        <f>AB285</f>
        <v>2.2230000000000003</v>
      </c>
      <c r="AI285" s="89">
        <f>AC285</f>
        <v>2.2230000000000003</v>
      </c>
      <c r="AJ285" s="90">
        <f>AD285</f>
        <v>1.7100000000000002</v>
      </c>
      <c r="AK285" s="88" t="s">
        <v>79</v>
      </c>
      <c r="AL285" s="89"/>
      <c r="AM285" s="89"/>
      <c r="AN285" s="89"/>
      <c r="AO285" s="89"/>
      <c r="AP285" s="89"/>
      <c r="AW285" s="88" t="s">
        <v>79</v>
      </c>
      <c r="AX285" s="43">
        <f>Z285</f>
        <v>1</v>
      </c>
      <c r="AY285" s="43">
        <f t="shared" si="140"/>
        <v>1.7100000000000002</v>
      </c>
      <c r="AZ285" s="43">
        <f t="shared" si="141"/>
        <v>2.2230000000000003</v>
      </c>
      <c r="BA285" s="43">
        <f t="shared" si="142"/>
        <v>2.2230000000000003</v>
      </c>
      <c r="BB285" s="43">
        <f t="shared" si="143"/>
        <v>1.7100000000000002</v>
      </c>
      <c r="BC285" s="43" t="str">
        <f t="shared" si="144"/>
        <v>trave a spessore</v>
      </c>
      <c r="BD285" s="43">
        <f t="shared" ref="BD285:BH286" si="158">AF285</f>
        <v>1</v>
      </c>
      <c r="BE285" s="43">
        <f t="shared" si="158"/>
        <v>1.7100000000000002</v>
      </c>
      <c r="BF285" s="43">
        <f t="shared" si="158"/>
        <v>2.2230000000000003</v>
      </c>
      <c r="BG285" s="43">
        <f t="shared" si="158"/>
        <v>2.2230000000000003</v>
      </c>
      <c r="BH285" s="43">
        <f t="shared" si="158"/>
        <v>1.7100000000000002</v>
      </c>
      <c r="BI285" s="43" t="str">
        <f t="shared" si="145"/>
        <v>trave a spessore</v>
      </c>
      <c r="BU285" s="43" t="str">
        <f t="shared" si="146"/>
        <v>trave a spessore</v>
      </c>
      <c r="BV285" s="43">
        <f>AX285</f>
        <v>1</v>
      </c>
      <c r="BW285" s="43">
        <f t="shared" si="147"/>
        <v>1.7100000000000002</v>
      </c>
      <c r="BX285" s="43">
        <f t="shared" si="148"/>
        <v>2.2230000000000003</v>
      </c>
      <c r="BY285" s="43">
        <f t="shared" si="149"/>
        <v>2.2230000000000003</v>
      </c>
      <c r="BZ285" s="43">
        <f t="shared" si="150"/>
        <v>1.7100000000000002</v>
      </c>
      <c r="CA285" s="43" t="str">
        <f t="shared" si="151"/>
        <v>trave a spessore</v>
      </c>
      <c r="CB285" s="43">
        <f t="shared" ref="CB285:CF286" si="159">BD285</f>
        <v>1</v>
      </c>
      <c r="CC285" s="43">
        <f t="shared" si="159"/>
        <v>1.7100000000000002</v>
      </c>
      <c r="CD285" s="43">
        <f t="shared" si="159"/>
        <v>2.2230000000000003</v>
      </c>
      <c r="CE285" s="43">
        <f t="shared" si="159"/>
        <v>2.2230000000000003</v>
      </c>
      <c r="CF285" s="43">
        <f t="shared" si="159"/>
        <v>1.7100000000000002</v>
      </c>
      <c r="CG285" s="43" t="str">
        <f t="shared" si="152"/>
        <v>trave a spessore</v>
      </c>
    </row>
    <row r="286" spans="1:95" x14ac:dyDescent="0.25">
      <c r="A286" s="88" t="s">
        <v>80</v>
      </c>
      <c r="B286" s="68"/>
      <c r="C286" s="71"/>
      <c r="D286" s="71"/>
      <c r="E286" s="71"/>
      <c r="F286" s="72"/>
      <c r="G286" s="88" t="s">
        <v>80</v>
      </c>
      <c r="H286" s="68"/>
      <c r="I286" s="68"/>
      <c r="J286" s="68"/>
      <c r="K286" s="68"/>
      <c r="L286" s="68"/>
      <c r="M286" s="88" t="s">
        <v>80</v>
      </c>
      <c r="N286" s="68"/>
      <c r="O286" s="68"/>
      <c r="V286" s="43"/>
      <c r="W286" s="43"/>
      <c r="Y286" s="134" t="s">
        <v>80</v>
      </c>
      <c r="Z286" s="98"/>
      <c r="AA286" s="141"/>
      <c r="AB286" s="98"/>
      <c r="AC286" s="141"/>
      <c r="AD286" s="99"/>
      <c r="AE286" s="134" t="s">
        <v>80</v>
      </c>
      <c r="AF286" s="98">
        <v>1</v>
      </c>
      <c r="AG286" s="98">
        <f>AF286*'analisi dei carichi'!E29</f>
        <v>5.7200000000000006</v>
      </c>
      <c r="AH286" s="98">
        <f>AF286*'analisi dei carichi'!H29</f>
        <v>7.4360000000000008</v>
      </c>
      <c r="AI286" s="98">
        <f>AF286*'analisi dei carichi'!K29</f>
        <v>7.4360000000000008</v>
      </c>
      <c r="AJ286" s="99">
        <f>AF286*'analisi dei carichi'!N29</f>
        <v>5.7200000000000006</v>
      </c>
      <c r="AK286" s="88" t="s">
        <v>80</v>
      </c>
      <c r="AL286" s="98">
        <f>4.3/2</f>
        <v>2.15</v>
      </c>
      <c r="AM286" s="98">
        <f>AL286*'analisi dei carichi'!E29</f>
        <v>12.298</v>
      </c>
      <c r="AN286" s="98">
        <f>AL286*'analisi dei carichi'!H29</f>
        <v>15.987400000000001</v>
      </c>
      <c r="AO286" s="98">
        <f>AL286*'analisi dei carichi'!K29</f>
        <v>15.987400000000001</v>
      </c>
      <c r="AP286" s="98">
        <f>AL286*'analisi dei carichi'!N29</f>
        <v>12.298</v>
      </c>
      <c r="AW286" s="88" t="s">
        <v>80</v>
      </c>
      <c r="BC286" s="43" t="str">
        <f t="shared" si="144"/>
        <v>tamponatura</v>
      </c>
      <c r="BD286" s="43">
        <f t="shared" si="158"/>
        <v>1</v>
      </c>
      <c r="BE286" s="43">
        <f t="shared" si="158"/>
        <v>5.7200000000000006</v>
      </c>
      <c r="BF286" s="43">
        <f t="shared" si="158"/>
        <v>7.4360000000000008</v>
      </c>
      <c r="BG286" s="43">
        <f t="shared" si="158"/>
        <v>7.4360000000000008</v>
      </c>
      <c r="BH286" s="43">
        <f t="shared" si="158"/>
        <v>5.7200000000000006</v>
      </c>
      <c r="BI286" s="43" t="str">
        <f t="shared" si="145"/>
        <v>tamponatura</v>
      </c>
      <c r="BJ286" s="43">
        <f>AL286</f>
        <v>2.15</v>
      </c>
      <c r="BK286" s="43">
        <f>AM286</f>
        <v>12.298</v>
      </c>
      <c r="BL286" s="43">
        <f>AN286</f>
        <v>15.987400000000001</v>
      </c>
      <c r="BM286" s="43">
        <f>AO286</f>
        <v>15.987400000000001</v>
      </c>
      <c r="BN286" s="43">
        <f>AP286</f>
        <v>12.298</v>
      </c>
      <c r="BU286" s="43" t="str">
        <f t="shared" si="146"/>
        <v>tamponatura</v>
      </c>
      <c r="CA286" s="43" t="str">
        <f t="shared" si="151"/>
        <v>tamponatura</v>
      </c>
      <c r="CB286" s="43">
        <f t="shared" si="159"/>
        <v>1</v>
      </c>
      <c r="CC286" s="43">
        <f t="shared" si="159"/>
        <v>5.7200000000000006</v>
      </c>
      <c r="CD286" s="43">
        <f t="shared" si="159"/>
        <v>7.4360000000000008</v>
      </c>
      <c r="CE286" s="43">
        <f t="shared" si="159"/>
        <v>7.4360000000000008</v>
      </c>
      <c r="CF286" s="43">
        <f t="shared" si="159"/>
        <v>5.7200000000000006</v>
      </c>
      <c r="CG286" s="43" t="str">
        <f t="shared" si="152"/>
        <v>tamponatura</v>
      </c>
      <c r="CH286" s="43">
        <f>BJ286</f>
        <v>2.15</v>
      </c>
      <c r="CI286" s="43">
        <f>BK286</f>
        <v>12.298</v>
      </c>
      <c r="CJ286" s="43">
        <f>BL286</f>
        <v>15.987400000000001</v>
      </c>
      <c r="CK286" s="43">
        <f>BM286</f>
        <v>15.987400000000001</v>
      </c>
      <c r="CL286" s="43">
        <f>BN286</f>
        <v>12.298</v>
      </c>
    </row>
    <row r="287" spans="1:95" x14ac:dyDescent="0.25">
      <c r="A287" s="88" t="s">
        <v>55</v>
      </c>
      <c r="B287" s="65"/>
      <c r="C287" s="65">
        <f>SUM(C280:C286)</f>
        <v>11.014099999999999</v>
      </c>
      <c r="D287" s="65">
        <f t="shared" ref="D287:F287" si="160">SUM(D280:D286)</f>
        <v>14.318329999999998</v>
      </c>
      <c r="E287" s="65">
        <f t="shared" si="160"/>
        <v>27.578329999999998</v>
      </c>
      <c r="F287" s="65">
        <f t="shared" si="160"/>
        <v>16.318099999999998</v>
      </c>
      <c r="G287" s="88" t="s">
        <v>55</v>
      </c>
      <c r="H287" s="68"/>
      <c r="I287" s="68">
        <f>SUM(I280:I286)</f>
        <v>12.964099999999998</v>
      </c>
      <c r="J287" s="68">
        <f t="shared" ref="J287:L287" si="161">SUM(J280:J286)</f>
        <v>16.853329999999996</v>
      </c>
      <c r="K287" s="68">
        <f t="shared" si="161"/>
        <v>23.858329999999995</v>
      </c>
      <c r="L287" s="68">
        <f t="shared" si="161"/>
        <v>14.745099999999997</v>
      </c>
      <c r="M287" s="88" t="s">
        <v>55</v>
      </c>
      <c r="N287" s="68"/>
      <c r="O287" s="68"/>
      <c r="V287" s="43"/>
      <c r="W287" s="43"/>
      <c r="Y287" s="134" t="s">
        <v>55</v>
      </c>
      <c r="Z287" s="98"/>
      <c r="AA287" s="141">
        <f>SUM(AA281:AA286)</f>
        <v>11.014099999999999</v>
      </c>
      <c r="AB287" s="98">
        <f>SUM(AB281:AB286)</f>
        <v>14.318329999999998</v>
      </c>
      <c r="AC287" s="141">
        <f>SUM(AC281:AC286)</f>
        <v>27.578329999999998</v>
      </c>
      <c r="AD287" s="99">
        <f>SUM(AD281:AD286)</f>
        <v>16.318099999999998</v>
      </c>
      <c r="AE287" s="134" t="s">
        <v>55</v>
      </c>
      <c r="AF287" s="98"/>
      <c r="AG287" s="98">
        <f>SUM(AG281:AG286)</f>
        <v>18.823875999999998</v>
      </c>
      <c r="AH287" s="98">
        <f>SUM(AH281:AH286)</f>
        <v>25.001438799999999</v>
      </c>
      <c r="AI287" s="98">
        <f>SUM(AI281:AI286)</f>
        <v>31.631438799999998</v>
      </c>
      <c r="AJ287" s="99">
        <f>SUM(AJ281:AJ286)</f>
        <v>20.149875999999999</v>
      </c>
      <c r="AK287" s="88" t="s">
        <v>55</v>
      </c>
      <c r="AM287" s="91">
        <f>SUM(AM281:AM286)</f>
        <v>12.298</v>
      </c>
      <c r="AN287" s="91">
        <f>SUM(AN281:AN286)</f>
        <v>15.987400000000001</v>
      </c>
      <c r="AO287" s="91">
        <f>SUM(AO281:AO286)</f>
        <v>15.987400000000001</v>
      </c>
      <c r="AP287" s="91">
        <f>SUM(AP281:AP286)</f>
        <v>12.298</v>
      </c>
      <c r="AW287" s="88" t="s">
        <v>55</v>
      </c>
      <c r="AY287" s="43">
        <f t="shared" si="140"/>
        <v>11.014099999999999</v>
      </c>
      <c r="AZ287" s="43">
        <f t="shared" si="141"/>
        <v>14.318329999999998</v>
      </c>
      <c r="BA287" s="43">
        <f t="shared" si="142"/>
        <v>27.578329999999998</v>
      </c>
      <c r="BB287" s="43">
        <f t="shared" si="143"/>
        <v>16.318099999999998</v>
      </c>
      <c r="BC287" s="43" t="str">
        <f t="shared" si="144"/>
        <v>totale</v>
      </c>
      <c r="BE287" s="43">
        <f t="shared" ref="BE287:BH288" si="162">AG287</f>
        <v>18.823875999999998</v>
      </c>
      <c r="BF287" s="43">
        <f t="shared" si="162"/>
        <v>25.001438799999999</v>
      </c>
      <c r="BG287" s="43">
        <f t="shared" si="162"/>
        <v>31.631438799999998</v>
      </c>
      <c r="BH287" s="43">
        <f t="shared" si="162"/>
        <v>20.149875999999999</v>
      </c>
      <c r="BI287" s="43" t="str">
        <f t="shared" si="145"/>
        <v>totale</v>
      </c>
      <c r="BK287" s="43">
        <f>AM287</f>
        <v>12.298</v>
      </c>
      <c r="BL287" s="43">
        <f>AN287</f>
        <v>15.987400000000001</v>
      </c>
      <c r="BM287" s="43">
        <f>AO287</f>
        <v>15.987400000000001</v>
      </c>
      <c r="BN287" s="43">
        <f>AP287</f>
        <v>12.298</v>
      </c>
      <c r="BU287" s="43" t="str">
        <f t="shared" si="146"/>
        <v>totale</v>
      </c>
      <c r="BW287" s="43">
        <f t="shared" si="147"/>
        <v>11.014099999999999</v>
      </c>
      <c r="BX287" s="43">
        <f t="shared" si="148"/>
        <v>14.318329999999998</v>
      </c>
      <c r="BY287" s="43">
        <f t="shared" si="149"/>
        <v>27.578329999999998</v>
      </c>
      <c r="BZ287" s="43">
        <f t="shared" si="150"/>
        <v>16.318099999999998</v>
      </c>
      <c r="CA287" s="43" t="str">
        <f t="shared" si="151"/>
        <v>totale</v>
      </c>
      <c r="CC287" s="43">
        <f t="shared" ref="CC287:CF288" si="163">BE287</f>
        <v>18.823875999999998</v>
      </c>
      <c r="CD287" s="43">
        <f t="shared" si="163"/>
        <v>25.001438799999999</v>
      </c>
      <c r="CE287" s="43">
        <f t="shared" si="163"/>
        <v>31.631438799999998</v>
      </c>
      <c r="CF287" s="43">
        <f t="shared" si="163"/>
        <v>20.149875999999999</v>
      </c>
      <c r="CG287" s="43" t="str">
        <f t="shared" si="152"/>
        <v>totale</v>
      </c>
      <c r="CI287" s="43">
        <f>BK287</f>
        <v>12.298</v>
      </c>
      <c r="CJ287" s="43">
        <f>BL287</f>
        <v>15.987400000000001</v>
      </c>
      <c r="CK287" s="43">
        <f>BM287</f>
        <v>15.987400000000001</v>
      </c>
      <c r="CL287" s="43">
        <f>BN287</f>
        <v>12.298</v>
      </c>
    </row>
    <row r="288" spans="1:95" x14ac:dyDescent="0.25">
      <c r="C288" s="43">
        <f>C287*$D$279</f>
        <v>23.12961</v>
      </c>
      <c r="D288" s="43">
        <f t="shared" ref="D288:F288" si="164">D287*$D$279</f>
        <v>30.068492999999997</v>
      </c>
      <c r="E288" s="43">
        <f t="shared" si="164"/>
        <v>57.914493</v>
      </c>
      <c r="F288" s="43">
        <f t="shared" si="164"/>
        <v>34.268009999999997</v>
      </c>
      <c r="I288" s="43">
        <f>I287*$J$279</f>
        <v>16.85333</v>
      </c>
      <c r="J288" s="43">
        <f t="shared" ref="J288:L288" si="165">J287*$J$279</f>
        <v>21.909328999999996</v>
      </c>
      <c r="K288" s="43">
        <f t="shared" si="165"/>
        <v>31.015828999999993</v>
      </c>
      <c r="L288" s="43">
        <f t="shared" si="165"/>
        <v>19.168629999999997</v>
      </c>
      <c r="V288" s="43"/>
      <c r="W288" s="43"/>
      <c r="AA288" s="134">
        <f>AA287*$AC$279</f>
        <v>23.12961</v>
      </c>
      <c r="AB288" s="91">
        <f>AB287*$AC$279</f>
        <v>30.068492999999997</v>
      </c>
      <c r="AC288" s="134">
        <f>AC287*$AC$279</f>
        <v>57.914493</v>
      </c>
      <c r="AD288" s="91">
        <f>AD287*$AC$279</f>
        <v>34.268009999999997</v>
      </c>
      <c r="AG288" s="91">
        <f>$AI$279*AG287</f>
        <v>24.471038799999999</v>
      </c>
      <c r="AH288" s="91">
        <f>$AI$279*AH287</f>
        <v>32.501870439999998</v>
      </c>
      <c r="AI288" s="91">
        <f>$AI$279*AI287</f>
        <v>41.120870439999997</v>
      </c>
      <c r="AJ288" s="91">
        <f>$AI$279*AJ287</f>
        <v>26.194838799999999</v>
      </c>
      <c r="AY288" s="43">
        <f>AA288</f>
        <v>23.12961</v>
      </c>
      <c r="AZ288" s="43">
        <f>AB288</f>
        <v>30.068492999999997</v>
      </c>
      <c r="BA288" s="43">
        <f>AC288</f>
        <v>57.914493</v>
      </c>
      <c r="BB288" s="43">
        <f>AD288</f>
        <v>34.268009999999997</v>
      </c>
      <c r="BE288" s="43">
        <f t="shared" si="162"/>
        <v>24.471038799999999</v>
      </c>
      <c r="BF288" s="43">
        <f t="shared" si="162"/>
        <v>32.501870439999998</v>
      </c>
      <c r="BG288" s="43">
        <f t="shared" si="162"/>
        <v>41.120870439999997</v>
      </c>
      <c r="BH288" s="43">
        <f t="shared" si="162"/>
        <v>26.194838799999999</v>
      </c>
      <c r="BU288" s="43">
        <f t="shared" si="146"/>
        <v>0</v>
      </c>
      <c r="BW288" s="43">
        <f t="shared" si="147"/>
        <v>23.12961</v>
      </c>
      <c r="BX288" s="43">
        <f t="shared" si="148"/>
        <v>30.068492999999997</v>
      </c>
      <c r="BY288" s="43">
        <f t="shared" si="149"/>
        <v>57.914493</v>
      </c>
      <c r="BZ288" s="43">
        <f t="shared" si="150"/>
        <v>34.268009999999997</v>
      </c>
      <c r="CA288" s="43">
        <f t="shared" si="151"/>
        <v>0</v>
      </c>
      <c r="CC288" s="43">
        <f t="shared" si="163"/>
        <v>24.471038799999999</v>
      </c>
      <c r="CD288" s="43">
        <f t="shared" si="163"/>
        <v>32.501870439999998</v>
      </c>
      <c r="CE288" s="43">
        <f t="shared" si="163"/>
        <v>41.120870439999997</v>
      </c>
      <c r="CF288" s="43">
        <f t="shared" si="163"/>
        <v>26.194838799999999</v>
      </c>
      <c r="CG288" s="43">
        <f t="shared" si="152"/>
        <v>0</v>
      </c>
    </row>
    <row r="289" spans="1:95" x14ac:dyDescent="0.25">
      <c r="B289" s="57" t="s">
        <v>76</v>
      </c>
      <c r="C289" s="43" t="s">
        <v>93</v>
      </c>
      <c r="H289" s="43" t="s">
        <v>93</v>
      </c>
      <c r="L289" s="43" t="s">
        <v>93</v>
      </c>
      <c r="Q289" s="43" t="s">
        <v>93</v>
      </c>
    </row>
    <row r="290" spans="1:95" x14ac:dyDescent="0.25">
      <c r="B290" s="50" t="s">
        <v>142</v>
      </c>
      <c r="C290" s="44">
        <v>6</v>
      </c>
      <c r="H290" s="43" t="s">
        <v>95</v>
      </c>
      <c r="L290" s="43" t="s">
        <v>96</v>
      </c>
      <c r="Q290" s="44">
        <v>1</v>
      </c>
    </row>
    <row r="291" spans="1:95" x14ac:dyDescent="0.25">
      <c r="B291" s="47" t="s">
        <v>51</v>
      </c>
      <c r="C291" s="47" t="s">
        <v>37</v>
      </c>
      <c r="D291" s="47" t="s">
        <v>39</v>
      </c>
      <c r="E291" s="47" t="s">
        <v>92</v>
      </c>
      <c r="F291" s="58" t="s">
        <v>91</v>
      </c>
      <c r="G291" s="47" t="s">
        <v>51</v>
      </c>
      <c r="H291" s="47" t="s">
        <v>37</v>
      </c>
      <c r="I291" s="47" t="s">
        <v>39</v>
      </c>
      <c r="J291" s="47" t="s">
        <v>92</v>
      </c>
      <c r="K291" s="58" t="s">
        <v>91</v>
      </c>
      <c r="L291" s="47" t="s">
        <v>51</v>
      </c>
      <c r="M291" s="47" t="s">
        <v>37</v>
      </c>
      <c r="N291" s="47" t="s">
        <v>39</v>
      </c>
      <c r="O291" s="47" t="s">
        <v>92</v>
      </c>
      <c r="P291" s="58" t="s">
        <v>91</v>
      </c>
      <c r="Q291" s="47" t="s">
        <v>51</v>
      </c>
      <c r="R291" s="47" t="s">
        <v>37</v>
      </c>
      <c r="S291" s="47" t="s">
        <v>39</v>
      </c>
      <c r="T291" s="47" t="s">
        <v>92</v>
      </c>
      <c r="U291" s="58" t="s">
        <v>91</v>
      </c>
    </row>
    <row r="292" spans="1:95" x14ac:dyDescent="0.25">
      <c r="A292" s="91" t="s">
        <v>56</v>
      </c>
      <c r="B292" s="43">
        <f>4.42/2</f>
        <v>2.21</v>
      </c>
      <c r="C292" s="43">
        <f>B292*'analisi dei carichi'!E35</f>
        <v>9.3040999999999983</v>
      </c>
      <c r="D292" s="43">
        <f>B292*'analisi dei carichi'!H35</f>
        <v>12.095329999999997</v>
      </c>
      <c r="E292" s="43">
        <f>'analisi dei carichi'!K35*B292</f>
        <v>18.725329999999996</v>
      </c>
      <c r="F292" s="46">
        <f>B292*'analisi dei carichi'!N35</f>
        <v>10.630099999999997</v>
      </c>
      <c r="G292" s="43">
        <f>B292</f>
        <v>2.21</v>
      </c>
      <c r="H292" s="43">
        <f>G292*'analisi dei carichi'!O28</f>
        <v>11.393875999999999</v>
      </c>
      <c r="I292" s="43">
        <f>G292*'analisi dei carichi'!P28</f>
        <v>15.342438799999998</v>
      </c>
      <c r="J292" s="43">
        <f>G292*'analisi dei carichi'!K28</f>
        <v>21.972438799999999</v>
      </c>
      <c r="K292" s="46">
        <f>G292*'analisi dei carichi'!N28</f>
        <v>12.719875999999999</v>
      </c>
      <c r="L292" s="43">
        <f>G292</f>
        <v>2.21</v>
      </c>
      <c r="M292" s="43">
        <f t="shared" ref="M292:U292" si="166">H292</f>
        <v>11.393875999999999</v>
      </c>
      <c r="N292" s="43">
        <f t="shared" si="166"/>
        <v>15.342438799999998</v>
      </c>
      <c r="O292" s="43">
        <f t="shared" si="166"/>
        <v>21.972438799999999</v>
      </c>
      <c r="P292" s="43">
        <f t="shared" si="166"/>
        <v>12.719875999999999</v>
      </c>
      <c r="Q292" s="43">
        <f t="shared" si="166"/>
        <v>2.21</v>
      </c>
      <c r="R292" s="43">
        <f t="shared" si="166"/>
        <v>11.393875999999999</v>
      </c>
      <c r="S292" s="43">
        <f t="shared" si="166"/>
        <v>15.342438799999998</v>
      </c>
      <c r="T292" s="43">
        <f t="shared" si="166"/>
        <v>21.972438799999999</v>
      </c>
      <c r="U292" s="43">
        <f t="shared" si="166"/>
        <v>12.719875999999999</v>
      </c>
    </row>
    <row r="293" spans="1:95" x14ac:dyDescent="0.25">
      <c r="A293" s="170" t="s">
        <v>340</v>
      </c>
      <c r="F293" s="46"/>
      <c r="K293" s="46"/>
      <c r="P293" s="46"/>
      <c r="U293" s="46"/>
    </row>
    <row r="294" spans="1:95" x14ac:dyDescent="0.25">
      <c r="A294" s="91" t="s">
        <v>77</v>
      </c>
      <c r="F294" s="46"/>
      <c r="K294" s="46"/>
      <c r="P294" s="46"/>
      <c r="U294" s="46"/>
    </row>
    <row r="295" spans="1:95" x14ac:dyDescent="0.25">
      <c r="A295" s="91" t="s">
        <v>78</v>
      </c>
      <c r="B295" s="43">
        <v>1</v>
      </c>
      <c r="C295" s="43">
        <f>B295*'analisi dei carichi'!E37</f>
        <v>2.9550000000000001</v>
      </c>
      <c r="D295" s="43">
        <f>B295*'analisi dei carichi'!H37</f>
        <v>3.8415000000000004</v>
      </c>
      <c r="E295" s="43">
        <f>B295*'analisi dei carichi'!K37</f>
        <v>3.8415000000000004</v>
      </c>
      <c r="F295" s="46">
        <f>B295*'analisi dei carichi'!N37</f>
        <v>2.9550000000000001</v>
      </c>
      <c r="G295" s="43">
        <f t="shared" ref="G295:L295" si="167">B295</f>
        <v>1</v>
      </c>
      <c r="H295" s="43">
        <f t="shared" si="167"/>
        <v>2.9550000000000001</v>
      </c>
      <c r="I295" s="43">
        <f t="shared" si="167"/>
        <v>3.8415000000000004</v>
      </c>
      <c r="J295" s="43">
        <f t="shared" si="167"/>
        <v>3.8415000000000004</v>
      </c>
      <c r="K295" s="43">
        <f t="shared" si="167"/>
        <v>2.9550000000000001</v>
      </c>
      <c r="L295" s="43">
        <f t="shared" si="167"/>
        <v>1</v>
      </c>
      <c r="M295" s="43">
        <f>L295*'analisi dei carichi'!E30</f>
        <v>3.7050000000000001</v>
      </c>
      <c r="N295" s="43">
        <f>L295*'analisi dei carichi'!H30</f>
        <v>4.8165000000000004</v>
      </c>
      <c r="O295" s="43">
        <f>L295*'analisi dei carichi'!K30</f>
        <v>4.8165000000000004</v>
      </c>
      <c r="P295" s="46">
        <f>L295*'analisi dei carichi'!N30</f>
        <v>3.7050000000000001</v>
      </c>
      <c r="Q295" s="43">
        <f>L295</f>
        <v>1</v>
      </c>
      <c r="R295" s="43">
        <f>M295</f>
        <v>3.7050000000000001</v>
      </c>
      <c r="S295" s="43">
        <f>N295</f>
        <v>4.8165000000000004</v>
      </c>
      <c r="T295" s="43">
        <f>O295</f>
        <v>4.8165000000000004</v>
      </c>
      <c r="U295" s="43">
        <f>P295</f>
        <v>3.7050000000000001</v>
      </c>
    </row>
    <row r="296" spans="1:95" x14ac:dyDescent="0.25">
      <c r="A296" s="91" t="s">
        <v>79</v>
      </c>
      <c r="F296" s="46"/>
      <c r="K296" s="46"/>
      <c r="P296" s="46"/>
      <c r="U296" s="46"/>
    </row>
    <row r="297" spans="1:95" x14ac:dyDescent="0.25">
      <c r="A297" s="91" t="s">
        <v>80</v>
      </c>
      <c r="B297" s="48">
        <v>1</v>
      </c>
      <c r="C297" s="48">
        <f>B297*'analisi dei carichi'!E29</f>
        <v>5.7200000000000006</v>
      </c>
      <c r="D297" s="48">
        <f>B297*'analisi dei carichi'!H29</f>
        <v>7.4360000000000008</v>
      </c>
      <c r="E297" s="48">
        <f>B297*'analisi dei carichi'!K29</f>
        <v>7.4360000000000008</v>
      </c>
      <c r="F297" s="49">
        <f>B297*'analisi dei carichi'!N29</f>
        <v>5.7200000000000006</v>
      </c>
      <c r="G297" s="48">
        <f>0.8</f>
        <v>0.8</v>
      </c>
      <c r="H297" s="48">
        <f>G297*'analisi dei carichi'!E29</f>
        <v>4.5760000000000005</v>
      </c>
      <c r="I297" s="48">
        <f>G297*'analisi dei carichi'!H29</f>
        <v>5.9488000000000012</v>
      </c>
      <c r="J297" s="48">
        <f>G297*'analisi dei carichi'!K29</f>
        <v>5.9488000000000012</v>
      </c>
      <c r="K297" s="48">
        <f>G297*'analisi dei carichi'!N29</f>
        <v>4.5760000000000005</v>
      </c>
      <c r="L297" s="48">
        <f t="shared" ref="L297:U297" si="168">G297</f>
        <v>0.8</v>
      </c>
      <c r="M297" s="48">
        <f t="shared" si="168"/>
        <v>4.5760000000000005</v>
      </c>
      <c r="N297" s="48">
        <f t="shared" si="168"/>
        <v>5.9488000000000012</v>
      </c>
      <c r="O297" s="48">
        <f t="shared" si="168"/>
        <v>5.9488000000000012</v>
      </c>
      <c r="P297" s="48">
        <f t="shared" si="168"/>
        <v>4.5760000000000005</v>
      </c>
      <c r="Q297" s="48">
        <f t="shared" si="168"/>
        <v>0.8</v>
      </c>
      <c r="R297" s="48">
        <f t="shared" si="168"/>
        <v>4.5760000000000005</v>
      </c>
      <c r="S297" s="48">
        <f t="shared" si="168"/>
        <v>5.9488000000000012</v>
      </c>
      <c r="T297" s="48">
        <f t="shared" si="168"/>
        <v>5.9488000000000012</v>
      </c>
      <c r="U297" s="48">
        <f t="shared" si="168"/>
        <v>4.5760000000000005</v>
      </c>
    </row>
    <row r="298" spans="1:95" x14ac:dyDescent="0.25">
      <c r="A298" s="91" t="s">
        <v>55</v>
      </c>
      <c r="C298" s="43">
        <f>SUM(C292:C297)</f>
        <v>17.979099999999999</v>
      </c>
      <c r="D298" s="43">
        <f>SUM(D292:D297)</f>
        <v>23.372829999999997</v>
      </c>
      <c r="E298" s="43">
        <f>SUM(E292:E297)</f>
        <v>30.002829999999996</v>
      </c>
      <c r="F298" s="43">
        <f>SUM(F292:F297)</f>
        <v>19.305099999999996</v>
      </c>
      <c r="H298" s="43">
        <f>SUM(H292:H297)</f>
        <v>18.924875999999998</v>
      </c>
      <c r="I298" s="43">
        <f>SUM(I292:I297)</f>
        <v>25.132738800000002</v>
      </c>
      <c r="J298" s="43">
        <f>SUM(J292:J297)</f>
        <v>31.762738800000001</v>
      </c>
      <c r="K298" s="43">
        <f>SUM(K292:K297)</f>
        <v>20.250875999999998</v>
      </c>
      <c r="M298" s="43">
        <f>SUM(M292:M297)</f>
        <v>19.674875999999998</v>
      </c>
      <c r="N298" s="43">
        <f>SUM(N292:N297)</f>
        <v>26.1077388</v>
      </c>
      <c r="O298" s="43">
        <f>SUM(O292:O297)</f>
        <v>32.737738800000002</v>
      </c>
      <c r="P298" s="43">
        <f>SUM(P292:P297)</f>
        <v>21.000875999999998</v>
      </c>
      <c r="R298" s="43">
        <f>SUM(R292:R297)</f>
        <v>19.674875999999998</v>
      </c>
      <c r="S298" s="43">
        <f>SUM(S292:S297)</f>
        <v>26.1077388</v>
      </c>
      <c r="T298" s="43">
        <f>SUM(T292:T297)</f>
        <v>32.737738800000002</v>
      </c>
      <c r="U298" s="43">
        <f>SUM(U292:U297)</f>
        <v>21.000875999999998</v>
      </c>
    </row>
    <row r="300" spans="1:95" x14ac:dyDescent="0.25">
      <c r="A300" s="88"/>
      <c r="B300" s="64" t="s">
        <v>254</v>
      </c>
      <c r="D300" s="43" t="s">
        <v>249</v>
      </c>
      <c r="J300" s="43" t="s">
        <v>250</v>
      </c>
      <c r="N300" s="43" t="s">
        <v>251</v>
      </c>
      <c r="U300" s="43" t="s">
        <v>252</v>
      </c>
      <c r="Z300" s="64" t="s">
        <v>254</v>
      </c>
      <c r="AA300" s="74"/>
      <c r="AB300" s="43" t="s">
        <v>249</v>
      </c>
      <c r="AC300" s="74"/>
      <c r="AD300" s="43"/>
      <c r="AE300" s="74"/>
      <c r="AF300" s="43"/>
      <c r="AG300" s="43"/>
      <c r="AH300" s="43" t="s">
        <v>250</v>
      </c>
      <c r="AI300" s="43"/>
      <c r="AJ300" s="43"/>
      <c r="AL300" s="43"/>
      <c r="AM300" s="43" t="s">
        <v>251</v>
      </c>
      <c r="AN300" s="43"/>
      <c r="AO300" s="43"/>
      <c r="AP300" s="43"/>
      <c r="AQ300" s="43"/>
      <c r="AR300" s="43"/>
      <c r="AS300" s="43" t="s">
        <v>252</v>
      </c>
      <c r="AW300" s="65"/>
      <c r="AX300" s="64" t="s">
        <v>254</v>
      </c>
      <c r="AZ300" s="43" t="s">
        <v>249</v>
      </c>
      <c r="BF300" s="43" t="s">
        <v>250</v>
      </c>
      <c r="BL300" s="43" t="s">
        <v>251</v>
      </c>
      <c r="BQ300" s="43" t="s">
        <v>252</v>
      </c>
      <c r="BU300" s="65"/>
      <c r="BV300" s="64" t="s">
        <v>254</v>
      </c>
      <c r="BX300" s="43" t="s">
        <v>249</v>
      </c>
      <c r="CD300" s="43" t="s">
        <v>250</v>
      </c>
      <c r="CI300" s="43" t="s">
        <v>251</v>
      </c>
      <c r="CO300" s="43" t="s">
        <v>252</v>
      </c>
    </row>
    <row r="301" spans="1:95" x14ac:dyDescent="0.25">
      <c r="A301" s="67">
        <v>6</v>
      </c>
      <c r="B301" s="66" t="s">
        <v>144</v>
      </c>
      <c r="C301" s="43" t="s">
        <v>51</v>
      </c>
      <c r="D301" s="65">
        <v>2.4700000000000002</v>
      </c>
      <c r="E301" s="65"/>
      <c r="F301" s="65"/>
      <c r="G301" s="91"/>
      <c r="H301" s="91"/>
      <c r="I301" s="43" t="s">
        <v>51</v>
      </c>
      <c r="J301" s="91">
        <v>2.09</v>
      </c>
      <c r="K301" s="91"/>
      <c r="L301" s="91"/>
      <c r="M301" s="91"/>
      <c r="N301" s="91"/>
      <c r="O301" s="91"/>
      <c r="P301" s="91"/>
      <c r="Q301" s="91"/>
      <c r="R301" s="91"/>
      <c r="S301" s="91"/>
      <c r="T301" s="91"/>
      <c r="U301" s="91"/>
      <c r="Z301" s="43" t="s">
        <v>51</v>
      </c>
      <c r="AA301" s="74">
        <v>2.4700000000000002</v>
      </c>
      <c r="AB301" s="65"/>
      <c r="AC301" s="74"/>
      <c r="AF301" s="43" t="s">
        <v>51</v>
      </c>
      <c r="AG301" s="91">
        <v>2.09</v>
      </c>
      <c r="AX301" s="43" t="s">
        <v>51</v>
      </c>
      <c r="AY301" s="65">
        <v>2.4700000000000002</v>
      </c>
      <c r="AZ301" s="65"/>
      <c r="BA301" s="65"/>
      <c r="BB301" s="91"/>
      <c r="BC301" s="91"/>
      <c r="BD301" s="43" t="s">
        <v>51</v>
      </c>
      <c r="BE301" s="91">
        <v>2.09</v>
      </c>
      <c r="BV301" s="43" t="s">
        <v>51</v>
      </c>
      <c r="BW301" s="65">
        <v>2.4700000000000002</v>
      </c>
      <c r="BX301" s="65"/>
      <c r="BY301" s="65"/>
      <c r="BZ301" s="91"/>
      <c r="CA301" s="91"/>
      <c r="CB301" s="43" t="s">
        <v>51</v>
      </c>
      <c r="CC301" s="91">
        <v>2.09</v>
      </c>
      <c r="CD301" s="91"/>
    </row>
    <row r="302" spans="1:95" x14ac:dyDescent="0.25">
      <c r="A302" s="88"/>
      <c r="B302" s="68" t="s">
        <v>51</v>
      </c>
      <c r="C302" s="68" t="s">
        <v>37</v>
      </c>
      <c r="D302" s="68" t="s">
        <v>39</v>
      </c>
      <c r="E302" s="68" t="s">
        <v>92</v>
      </c>
      <c r="F302" s="69" t="s">
        <v>91</v>
      </c>
      <c r="G302" s="88"/>
      <c r="H302" s="68" t="s">
        <v>51</v>
      </c>
      <c r="I302" s="68" t="s">
        <v>37</v>
      </c>
      <c r="J302" s="68" t="s">
        <v>39</v>
      </c>
      <c r="K302" s="68" t="s">
        <v>92</v>
      </c>
      <c r="L302" s="69" t="s">
        <v>91</v>
      </c>
      <c r="M302" s="88"/>
      <c r="N302" s="68" t="s">
        <v>51</v>
      </c>
      <c r="O302" s="68" t="s">
        <v>37</v>
      </c>
      <c r="P302" s="68" t="s">
        <v>39</v>
      </c>
      <c r="Q302" s="68" t="s">
        <v>92</v>
      </c>
      <c r="R302" s="69" t="s">
        <v>91</v>
      </c>
      <c r="T302" s="68" t="s">
        <v>37</v>
      </c>
      <c r="U302" s="68" t="s">
        <v>39</v>
      </c>
      <c r="V302" s="68" t="s">
        <v>92</v>
      </c>
      <c r="W302" s="69" t="s">
        <v>91</v>
      </c>
      <c r="Y302" s="134">
        <v>5</v>
      </c>
      <c r="Z302" s="68" t="s">
        <v>51</v>
      </c>
      <c r="AA302" s="137" t="s">
        <v>37</v>
      </c>
      <c r="AB302" s="68" t="s">
        <v>39</v>
      </c>
      <c r="AC302" s="137" t="s">
        <v>92</v>
      </c>
      <c r="AD302" s="69" t="s">
        <v>91</v>
      </c>
      <c r="AF302" s="68" t="s">
        <v>51</v>
      </c>
      <c r="AG302" s="68" t="s">
        <v>37</v>
      </c>
      <c r="AH302" s="68" t="s">
        <v>39</v>
      </c>
      <c r="AI302" s="68" t="s">
        <v>92</v>
      </c>
      <c r="AJ302" s="69" t="s">
        <v>91</v>
      </c>
      <c r="AK302" s="43"/>
      <c r="AL302" s="68" t="s">
        <v>51</v>
      </c>
      <c r="AM302" s="68" t="s">
        <v>37</v>
      </c>
      <c r="AN302" s="68" t="s">
        <v>39</v>
      </c>
      <c r="AO302" s="68" t="s">
        <v>92</v>
      </c>
      <c r="AP302" s="69" t="s">
        <v>91</v>
      </c>
      <c r="AQ302" s="43"/>
      <c r="AR302" s="68" t="s">
        <v>37</v>
      </c>
      <c r="AS302" s="68" t="s">
        <v>39</v>
      </c>
      <c r="AT302" s="68" t="s">
        <v>92</v>
      </c>
      <c r="AU302" s="69" t="s">
        <v>91</v>
      </c>
      <c r="AW302" s="67" t="s">
        <v>96</v>
      </c>
      <c r="AX302" s="68" t="s">
        <v>51</v>
      </c>
      <c r="AY302" s="68" t="s">
        <v>37</v>
      </c>
      <c r="AZ302" s="68" t="s">
        <v>39</v>
      </c>
      <c r="BA302" s="68" t="s">
        <v>92</v>
      </c>
      <c r="BB302" s="69" t="s">
        <v>91</v>
      </c>
      <c r="BC302" s="65"/>
      <c r="BD302" s="68" t="s">
        <v>51</v>
      </c>
      <c r="BE302" s="68" t="s">
        <v>37</v>
      </c>
      <c r="BF302" s="68" t="s">
        <v>39</v>
      </c>
      <c r="BG302" s="68" t="s">
        <v>92</v>
      </c>
      <c r="BH302" s="69" t="s">
        <v>91</v>
      </c>
      <c r="BJ302" s="68" t="s">
        <v>51</v>
      </c>
      <c r="BK302" s="68" t="s">
        <v>37</v>
      </c>
      <c r="BL302" s="68" t="s">
        <v>39</v>
      </c>
      <c r="BM302" s="68" t="s">
        <v>92</v>
      </c>
      <c r="BN302" s="69" t="s">
        <v>91</v>
      </c>
      <c r="BP302" s="68" t="s">
        <v>37</v>
      </c>
      <c r="BQ302" s="68" t="s">
        <v>39</v>
      </c>
      <c r="BR302" s="68" t="s">
        <v>92</v>
      </c>
      <c r="BS302" s="69" t="s">
        <v>91</v>
      </c>
      <c r="BU302" s="88">
        <v>1</v>
      </c>
      <c r="BV302" s="68" t="s">
        <v>51</v>
      </c>
      <c r="BW302" s="68" t="s">
        <v>37</v>
      </c>
      <c r="BX302" s="68" t="s">
        <v>39</v>
      </c>
      <c r="BY302" s="68" t="s">
        <v>92</v>
      </c>
      <c r="BZ302" s="69" t="s">
        <v>91</v>
      </c>
      <c r="CA302" s="65"/>
      <c r="CB302" s="68" t="s">
        <v>51</v>
      </c>
      <c r="CC302" s="68" t="s">
        <v>37</v>
      </c>
      <c r="CD302" s="68" t="s">
        <v>39</v>
      </c>
      <c r="CE302" s="68" t="s">
        <v>92</v>
      </c>
      <c r="CF302" s="69" t="s">
        <v>91</v>
      </c>
      <c r="CH302" s="68" t="s">
        <v>51</v>
      </c>
      <c r="CI302" s="68" t="s">
        <v>37</v>
      </c>
      <c r="CJ302" s="68" t="s">
        <v>39</v>
      </c>
      <c r="CK302" s="68" t="s">
        <v>92</v>
      </c>
      <c r="CL302" s="69" t="s">
        <v>91</v>
      </c>
      <c r="CN302" s="68" t="s">
        <v>37</v>
      </c>
      <c r="CO302" s="68" t="s">
        <v>39</v>
      </c>
      <c r="CP302" s="68" t="s">
        <v>92</v>
      </c>
      <c r="CQ302" s="69" t="s">
        <v>91</v>
      </c>
    </row>
    <row r="303" spans="1:95" x14ac:dyDescent="0.25">
      <c r="A303" s="88" t="s">
        <v>56</v>
      </c>
      <c r="B303" s="65">
        <f>(4.42/2)+0.5</f>
        <v>2.71</v>
      </c>
      <c r="C303" s="89">
        <f>B303*'analisi dei carichi'!E35</f>
        <v>11.409099999999997</v>
      </c>
      <c r="D303" s="89">
        <f>B303*'analisi dei carichi'!H35</f>
        <v>14.831829999999997</v>
      </c>
      <c r="E303" s="89">
        <f>B303*'analisi dei carichi'!K35</f>
        <v>22.961829999999996</v>
      </c>
      <c r="F303" s="90">
        <f>B303*'analisi dei carichi'!N35</f>
        <v>13.035099999999996</v>
      </c>
      <c r="G303" s="88" t="s">
        <v>56</v>
      </c>
      <c r="H303" s="89"/>
      <c r="I303" s="89"/>
      <c r="J303" s="89"/>
      <c r="K303" s="89"/>
      <c r="L303" s="90"/>
      <c r="M303" s="88" t="s">
        <v>56</v>
      </c>
      <c r="N303" s="91"/>
      <c r="O303" s="91"/>
      <c r="P303" s="91"/>
      <c r="Q303" s="91"/>
      <c r="R303" s="91"/>
      <c r="S303" s="91"/>
      <c r="T303" s="91">
        <f>(C310+I310)/4.56</f>
        <v>10.922429166666666</v>
      </c>
      <c r="U303" s="91">
        <f>(D310+J310)/4.56</f>
        <v>14.199157916666666</v>
      </c>
      <c r="V303" s="91">
        <f>(E310+K310)/4.56</f>
        <v>18.946657916666666</v>
      </c>
      <c r="W303" s="91">
        <f>(F310+L310)/4.56</f>
        <v>11.803179166666668</v>
      </c>
      <c r="Y303" s="134" t="s">
        <v>56</v>
      </c>
      <c r="Z303" s="47">
        <f>B303</f>
        <v>2.71</v>
      </c>
      <c r="AA303" s="115">
        <f>Z303*'analisi dei carichi'!O28</f>
        <v>13.971675999999999</v>
      </c>
      <c r="AB303" s="89">
        <f>Z303*'analisi dei carichi'!P28</f>
        <v>18.813578799999998</v>
      </c>
      <c r="AC303" s="115">
        <f>Z303*'analisi dei carichi'!K28</f>
        <v>26.943578800000001</v>
      </c>
      <c r="AD303" s="89">
        <f>Z303*'analisi dei carichi'!N28</f>
        <v>15.597675999999998</v>
      </c>
      <c r="AE303" s="134" t="s">
        <v>56</v>
      </c>
      <c r="AF303" s="89">
        <v>0.5</v>
      </c>
      <c r="AG303" s="89">
        <f>AF303*'analisi dei carichi'!O28</f>
        <v>2.5777999999999999</v>
      </c>
      <c r="AH303" s="89">
        <f>AF303*'analisi dei carichi'!P28</f>
        <v>3.4711399999999997</v>
      </c>
      <c r="AI303" s="89">
        <f>AF303*'analisi dei carichi'!K28</f>
        <v>4.9711400000000001</v>
      </c>
      <c r="AJ303" s="89">
        <f>AF303*'analisi dei carichi'!N28</f>
        <v>2.8777999999999997</v>
      </c>
      <c r="AK303" s="88" t="s">
        <v>56</v>
      </c>
      <c r="AL303" s="89"/>
      <c r="AM303" s="89"/>
      <c r="AN303" s="89"/>
      <c r="AO303" s="89"/>
      <c r="AP303" s="89"/>
      <c r="AR303" s="91">
        <f>(AA310+AG310+AM309)/4.56</f>
        <v>21.287458491228072</v>
      </c>
      <c r="AS303" s="91">
        <f>(AB310+AH310+AN309)/4.56</f>
        <v>28.080996038596492</v>
      </c>
      <c r="AT303" s="91">
        <f>(AC310+AI310+AO309)/4.56</f>
        <v>39.249746038596498</v>
      </c>
      <c r="AU303" s="91">
        <f>(AD310+AJ310+AP309)/4.56</f>
        <v>21.070912657894738</v>
      </c>
      <c r="AW303" s="88" t="s">
        <v>56</v>
      </c>
      <c r="AX303" s="43">
        <f t="shared" ref="AX303:BH303" si="169">Z303</f>
        <v>2.71</v>
      </c>
      <c r="AY303" s="43">
        <f t="shared" si="169"/>
        <v>13.971675999999999</v>
      </c>
      <c r="AZ303" s="43">
        <f t="shared" si="169"/>
        <v>18.813578799999998</v>
      </c>
      <c r="BA303" s="43">
        <f t="shared" si="169"/>
        <v>26.943578800000001</v>
      </c>
      <c r="BB303" s="43">
        <f t="shared" si="169"/>
        <v>15.597675999999998</v>
      </c>
      <c r="BC303" s="43" t="str">
        <f t="shared" si="169"/>
        <v>solaio</v>
      </c>
      <c r="BD303" s="43">
        <f t="shared" si="169"/>
        <v>0.5</v>
      </c>
      <c r="BE303" s="43">
        <f t="shared" si="169"/>
        <v>2.5777999999999999</v>
      </c>
      <c r="BF303" s="43">
        <f t="shared" si="169"/>
        <v>3.4711399999999997</v>
      </c>
      <c r="BG303" s="43">
        <f t="shared" si="169"/>
        <v>4.9711400000000001</v>
      </c>
      <c r="BH303" s="43">
        <f t="shared" si="169"/>
        <v>2.8777999999999997</v>
      </c>
      <c r="BI303" s="43" t="str">
        <f t="shared" ref="BI303:BI309" si="170">AK303</f>
        <v>solaio</v>
      </c>
      <c r="BP303" s="43">
        <f>(AY310+BE310+BK309)/4.56</f>
        <v>22.037458491228072</v>
      </c>
      <c r="BQ303" s="43">
        <f>(AZ310+BF310+BL309)/4.56</f>
        <v>29.05599603859649</v>
      </c>
      <c r="BR303" s="43">
        <f>(BA310+BG310+BM309)/4.56</f>
        <v>40.224746038596493</v>
      </c>
      <c r="BS303" s="43">
        <f>(BB310+BH310+BN309)/4.56</f>
        <v>21.820912657894738</v>
      </c>
      <c r="BU303" s="88" t="s">
        <v>56</v>
      </c>
      <c r="BV303" s="47">
        <f>Z303</f>
        <v>2.71</v>
      </c>
      <c r="BW303" s="47">
        <f t="shared" ref="BW303:CF303" si="171">AA303</f>
        <v>13.971675999999999</v>
      </c>
      <c r="BX303" s="47">
        <f t="shared" si="171"/>
        <v>18.813578799999998</v>
      </c>
      <c r="BY303" s="47">
        <f t="shared" si="171"/>
        <v>26.943578800000001</v>
      </c>
      <c r="BZ303" s="46">
        <f t="shared" si="171"/>
        <v>15.597675999999998</v>
      </c>
      <c r="CA303" s="43" t="str">
        <f t="shared" si="171"/>
        <v>solaio</v>
      </c>
      <c r="CB303" s="47">
        <f t="shared" si="171"/>
        <v>0.5</v>
      </c>
      <c r="CC303" s="47">
        <f t="shared" si="171"/>
        <v>2.5777999999999999</v>
      </c>
      <c r="CD303" s="47">
        <f t="shared" si="171"/>
        <v>3.4711399999999997</v>
      </c>
      <c r="CE303" s="47">
        <f t="shared" si="171"/>
        <v>4.9711400000000001</v>
      </c>
      <c r="CF303" s="46">
        <f t="shared" si="171"/>
        <v>2.8777999999999997</v>
      </c>
      <c r="CG303" s="43" t="str">
        <f t="shared" ref="CG303:CG308" si="172">AK303</f>
        <v>solaio</v>
      </c>
      <c r="CN303" s="43">
        <f>(BW310+CC310+CI309)/4.56</f>
        <v>17.773079324561408</v>
      </c>
      <c r="CO303" s="43">
        <f>(BX310+CD310+CJ309)/4.56</f>
        <v>23.512303121929829</v>
      </c>
      <c r="CP303" s="43">
        <f>(BY310+CE310+CK309)/4.56</f>
        <v>28.603553121929831</v>
      </c>
      <c r="CQ303" s="43">
        <f>(BZ310+CF310+CL309)/4.56</f>
        <v>18.791329324561406</v>
      </c>
    </row>
    <row r="304" spans="1:95" x14ac:dyDescent="0.25">
      <c r="A304" s="170" t="s">
        <v>340</v>
      </c>
      <c r="B304" s="65"/>
      <c r="C304" s="89"/>
      <c r="D304" s="89"/>
      <c r="E304" s="89"/>
      <c r="F304" s="90"/>
      <c r="G304" s="88" t="s">
        <v>340</v>
      </c>
      <c r="H304" s="89">
        <v>1</v>
      </c>
      <c r="I304" s="89">
        <f>H304*'analisi dei carichi'!E38</f>
        <v>3.9</v>
      </c>
      <c r="J304" s="89">
        <f>H304*'analisi dei carichi'!H38</f>
        <v>5.07</v>
      </c>
      <c r="K304" s="89">
        <f>H304*'analisi dei carichi'!K38</f>
        <v>5.82</v>
      </c>
      <c r="L304" s="90">
        <f>'analisi dei carichi'!N38</f>
        <v>3.9</v>
      </c>
      <c r="M304" s="88" t="s">
        <v>340</v>
      </c>
      <c r="N304" s="91"/>
      <c r="O304" s="91"/>
      <c r="P304" s="91"/>
      <c r="Q304" s="91"/>
      <c r="R304" s="91"/>
      <c r="S304" s="91"/>
      <c r="T304" s="91"/>
      <c r="U304" s="91"/>
      <c r="Y304" s="88" t="s">
        <v>340</v>
      </c>
      <c r="Z304" s="47"/>
      <c r="AA304" s="115"/>
      <c r="AB304" s="89"/>
      <c r="AC304" s="115"/>
      <c r="AD304" s="89"/>
      <c r="AE304" s="88" t="s">
        <v>340</v>
      </c>
      <c r="AF304" s="89">
        <f>4.42/2</f>
        <v>2.21</v>
      </c>
      <c r="AG304" s="89">
        <f>AF304*'analisi dei carichi'!E32</f>
        <v>9.3040999999999983</v>
      </c>
      <c r="AH304" s="89">
        <f>AF304*'analisi dei carichi'!H32</f>
        <v>12.095329999999997</v>
      </c>
      <c r="AI304" s="89">
        <f>AF304*'analisi dei carichi'!K32</f>
        <v>25.355329999999999</v>
      </c>
      <c r="AJ304" s="47">
        <f>'analisi dei carichi'!N32</f>
        <v>6.6099999999999994</v>
      </c>
      <c r="AK304" s="88" t="s">
        <v>340</v>
      </c>
      <c r="AL304" s="89"/>
      <c r="AM304" s="89"/>
      <c r="AN304" s="89"/>
      <c r="AO304" s="89"/>
      <c r="AP304" s="89"/>
      <c r="AW304" s="88" t="s">
        <v>340</v>
      </c>
      <c r="BC304" s="43" t="str">
        <f t="shared" ref="BC304:BH304" si="173">AE304</f>
        <v>terrazzino/corn</v>
      </c>
      <c r="BD304" s="43">
        <f t="shared" si="173"/>
        <v>2.21</v>
      </c>
      <c r="BE304" s="43">
        <f t="shared" si="173"/>
        <v>9.3040999999999983</v>
      </c>
      <c r="BF304" s="43">
        <f t="shared" si="173"/>
        <v>12.095329999999997</v>
      </c>
      <c r="BG304" s="43">
        <f t="shared" si="173"/>
        <v>25.355329999999999</v>
      </c>
      <c r="BH304" s="43">
        <f t="shared" si="173"/>
        <v>6.6099999999999994</v>
      </c>
      <c r="BI304" s="43" t="str">
        <f t="shared" si="170"/>
        <v>terrazzino/corn</v>
      </c>
      <c r="BU304" s="88" t="s">
        <v>340</v>
      </c>
      <c r="BV304" s="47"/>
      <c r="BW304" s="47"/>
      <c r="BX304" s="47"/>
      <c r="BY304" s="47"/>
      <c r="BZ304" s="46"/>
      <c r="CA304" s="43" t="str">
        <f>AE304</f>
        <v>terrazzino/corn</v>
      </c>
      <c r="CB304" s="47"/>
      <c r="CC304" s="47"/>
      <c r="CD304" s="47"/>
      <c r="CE304" s="47"/>
      <c r="CF304" s="46"/>
      <c r="CG304" s="43" t="str">
        <f t="shared" si="172"/>
        <v>terrazzino/corn</v>
      </c>
    </row>
    <row r="305" spans="1:95" x14ac:dyDescent="0.25">
      <c r="A305" s="88" t="s">
        <v>77</v>
      </c>
      <c r="B305" s="65"/>
      <c r="C305" s="89"/>
      <c r="D305" s="89"/>
      <c r="E305" s="89"/>
      <c r="F305" s="90"/>
      <c r="G305" s="88" t="s">
        <v>77</v>
      </c>
      <c r="H305" s="89"/>
      <c r="I305" s="89"/>
      <c r="J305" s="89"/>
      <c r="K305" s="89"/>
      <c r="L305" s="90"/>
      <c r="M305" s="88" t="s">
        <v>77</v>
      </c>
      <c r="N305" s="91"/>
      <c r="O305" s="91"/>
      <c r="P305" s="91"/>
      <c r="Q305" s="91"/>
      <c r="R305" s="91"/>
      <c r="S305" s="91"/>
      <c r="T305" s="91"/>
      <c r="U305" s="91"/>
      <c r="Y305" s="134" t="s">
        <v>77</v>
      </c>
      <c r="Z305" s="47"/>
      <c r="AA305" s="115"/>
      <c r="AB305" s="89"/>
      <c r="AC305" s="115"/>
      <c r="AD305" s="89"/>
      <c r="AE305" s="134" t="s">
        <v>77</v>
      </c>
      <c r="AF305" s="89"/>
      <c r="AG305" s="89"/>
      <c r="AH305" s="89"/>
      <c r="AI305" s="89"/>
      <c r="AJ305" s="89"/>
      <c r="AK305" s="88" t="s">
        <v>77</v>
      </c>
      <c r="AL305" s="89"/>
      <c r="AM305" s="89"/>
      <c r="AN305" s="89"/>
      <c r="AO305" s="89"/>
      <c r="AP305" s="89"/>
      <c r="AW305" s="88" t="s">
        <v>77</v>
      </c>
      <c r="BC305" s="43" t="str">
        <f>AE305</f>
        <v>scala</v>
      </c>
      <c r="BI305" s="43" t="str">
        <f t="shared" si="170"/>
        <v>scala</v>
      </c>
      <c r="BU305" s="88" t="s">
        <v>77</v>
      </c>
      <c r="BV305" s="47"/>
      <c r="BW305" s="47"/>
      <c r="BX305" s="47"/>
      <c r="BY305" s="47"/>
      <c r="BZ305" s="46"/>
      <c r="CA305" s="43" t="str">
        <f>AE305</f>
        <v>scala</v>
      </c>
      <c r="CB305" s="47"/>
      <c r="CC305" s="47"/>
      <c r="CD305" s="47"/>
      <c r="CE305" s="47"/>
      <c r="CF305" s="46"/>
      <c r="CG305" s="43" t="str">
        <f t="shared" si="172"/>
        <v>scala</v>
      </c>
    </row>
    <row r="306" spans="1:95" x14ac:dyDescent="0.25">
      <c r="A306" s="88" t="s">
        <v>78</v>
      </c>
      <c r="B306" s="65">
        <v>1</v>
      </c>
      <c r="C306" s="89">
        <f>B306*'analisi dei carichi'!E37</f>
        <v>2.9550000000000001</v>
      </c>
      <c r="D306" s="89">
        <f>B306*'analisi dei carichi'!H37</f>
        <v>3.8415000000000004</v>
      </c>
      <c r="E306" s="89">
        <f>B306*'analisi dei carichi'!K37</f>
        <v>3.8415000000000004</v>
      </c>
      <c r="F306" s="90">
        <f>B306*'analisi dei carichi'!N37</f>
        <v>2.9550000000000001</v>
      </c>
      <c r="G306" s="88" t="s">
        <v>78</v>
      </c>
      <c r="H306" s="47">
        <f>B306</f>
        <v>1</v>
      </c>
      <c r="I306" s="47">
        <f>C306</f>
        <v>2.9550000000000001</v>
      </c>
      <c r="J306" s="47">
        <f>D306</f>
        <v>3.8415000000000004</v>
      </c>
      <c r="K306" s="47">
        <f>E306</f>
        <v>3.8415000000000004</v>
      </c>
      <c r="L306" s="46">
        <f>F306</f>
        <v>2.9550000000000001</v>
      </c>
      <c r="M306" s="88" t="s">
        <v>78</v>
      </c>
      <c r="N306" s="91"/>
      <c r="O306" s="91"/>
      <c r="P306" s="91"/>
      <c r="Q306" s="91"/>
      <c r="R306" s="91"/>
      <c r="S306" s="91"/>
      <c r="T306" s="91"/>
      <c r="U306" s="91"/>
      <c r="Y306" s="134" t="s">
        <v>78</v>
      </c>
      <c r="Z306" s="47">
        <f>B306</f>
        <v>1</v>
      </c>
      <c r="AA306" s="137">
        <f>C306</f>
        <v>2.9550000000000001</v>
      </c>
      <c r="AB306" s="47">
        <f>D306</f>
        <v>3.8415000000000004</v>
      </c>
      <c r="AC306" s="137">
        <f>E306</f>
        <v>3.8415000000000004</v>
      </c>
      <c r="AD306" s="47">
        <f>F306</f>
        <v>2.9550000000000001</v>
      </c>
      <c r="AE306" s="134" t="s">
        <v>78</v>
      </c>
      <c r="AF306" s="47">
        <f>H306</f>
        <v>1</v>
      </c>
      <c r="AG306" s="47">
        <f>I306</f>
        <v>2.9550000000000001</v>
      </c>
      <c r="AH306" s="47">
        <f>J306</f>
        <v>3.8415000000000004</v>
      </c>
      <c r="AI306" s="47">
        <f>K306</f>
        <v>3.8415000000000004</v>
      </c>
      <c r="AJ306" s="47">
        <f>L306</f>
        <v>2.9550000000000001</v>
      </c>
      <c r="AK306" s="88" t="s">
        <v>78</v>
      </c>
      <c r="AL306" s="89"/>
      <c r="AM306" s="89"/>
      <c r="AN306" s="89"/>
      <c r="AO306" s="89"/>
      <c r="AP306" s="89"/>
      <c r="AW306" s="88" t="s">
        <v>78</v>
      </c>
      <c r="AX306" s="43">
        <f>Z306</f>
        <v>1</v>
      </c>
      <c r="AY306" s="43">
        <f>AX306*'analisi dei carichi'!E30</f>
        <v>3.7050000000000001</v>
      </c>
      <c r="AZ306" s="43">
        <f>AX306*'analisi dei carichi'!H30</f>
        <v>4.8165000000000004</v>
      </c>
      <c r="BA306" s="43">
        <f>AX306*'analisi dei carichi'!K30</f>
        <v>4.8165000000000004</v>
      </c>
      <c r="BB306" s="43">
        <f>AX306*'analisi dei carichi'!N30</f>
        <v>3.7050000000000001</v>
      </c>
      <c r="BC306" s="43" t="str">
        <f>AE306</f>
        <v>trave emergente</v>
      </c>
      <c r="BD306" s="43">
        <f>AX306</f>
        <v>1</v>
      </c>
      <c r="BE306" s="43">
        <f>AY306</f>
        <v>3.7050000000000001</v>
      </c>
      <c r="BF306" s="43">
        <f>AZ306</f>
        <v>4.8165000000000004</v>
      </c>
      <c r="BG306" s="43">
        <f>BA306</f>
        <v>4.8165000000000004</v>
      </c>
      <c r="BH306" s="43">
        <f>BB306</f>
        <v>3.7050000000000001</v>
      </c>
      <c r="BI306" s="43" t="str">
        <f t="shared" si="170"/>
        <v>trave emergente</v>
      </c>
      <c r="BU306" s="88" t="s">
        <v>78</v>
      </c>
      <c r="BV306" s="47">
        <f t="shared" ref="BV306:CF306" si="174">AX306</f>
        <v>1</v>
      </c>
      <c r="BW306" s="47">
        <f t="shared" si="174"/>
        <v>3.7050000000000001</v>
      </c>
      <c r="BX306" s="47">
        <f t="shared" si="174"/>
        <v>4.8165000000000004</v>
      </c>
      <c r="BY306" s="47">
        <f t="shared" si="174"/>
        <v>4.8165000000000004</v>
      </c>
      <c r="BZ306" s="47">
        <f t="shared" si="174"/>
        <v>3.7050000000000001</v>
      </c>
      <c r="CA306" s="47" t="str">
        <f t="shared" si="174"/>
        <v>trave emergente</v>
      </c>
      <c r="CB306" s="47">
        <f t="shared" si="174"/>
        <v>1</v>
      </c>
      <c r="CC306" s="47">
        <f t="shared" si="174"/>
        <v>3.7050000000000001</v>
      </c>
      <c r="CD306" s="47">
        <f t="shared" si="174"/>
        <v>4.8165000000000004</v>
      </c>
      <c r="CE306" s="47">
        <f t="shared" si="174"/>
        <v>4.8165000000000004</v>
      </c>
      <c r="CF306" s="47">
        <f t="shared" si="174"/>
        <v>3.7050000000000001</v>
      </c>
      <c r="CG306" s="43" t="str">
        <f t="shared" si="172"/>
        <v>trave emergente</v>
      </c>
    </row>
    <row r="307" spans="1:95" x14ac:dyDescent="0.25">
      <c r="A307" s="88" t="s">
        <v>79</v>
      </c>
      <c r="B307" s="65"/>
      <c r="C307" s="89"/>
      <c r="D307" s="89"/>
      <c r="E307" s="89"/>
      <c r="F307" s="90"/>
      <c r="G307" s="88" t="s">
        <v>79</v>
      </c>
      <c r="H307" s="89"/>
      <c r="I307" s="89"/>
      <c r="J307" s="89"/>
      <c r="K307" s="89"/>
      <c r="L307" s="90"/>
      <c r="M307" s="88" t="s">
        <v>79</v>
      </c>
      <c r="N307" s="91"/>
      <c r="O307" s="91"/>
      <c r="P307" s="91"/>
      <c r="Q307" s="91"/>
      <c r="R307" s="91"/>
      <c r="S307" s="91"/>
      <c r="T307" s="91"/>
      <c r="U307" s="91"/>
      <c r="Y307" s="134" t="s">
        <v>79</v>
      </c>
      <c r="Z307" s="47"/>
      <c r="AA307" s="115"/>
      <c r="AB307" s="89"/>
      <c r="AC307" s="115"/>
      <c r="AD307" s="89"/>
      <c r="AE307" s="134" t="s">
        <v>79</v>
      </c>
      <c r="AF307" s="89"/>
      <c r="AG307" s="89"/>
      <c r="AH307" s="89"/>
      <c r="AI307" s="89"/>
      <c r="AJ307" s="89"/>
      <c r="AK307" s="88" t="s">
        <v>79</v>
      </c>
      <c r="AL307" s="89"/>
      <c r="AM307" s="89"/>
      <c r="AN307" s="89"/>
      <c r="AO307" s="89"/>
      <c r="AP307" s="89"/>
      <c r="AW307" s="88" t="s">
        <v>79</v>
      </c>
      <c r="BC307" s="43" t="str">
        <f>AE307</f>
        <v>trave a spessore</v>
      </c>
      <c r="BI307" s="43" t="str">
        <f t="shared" si="170"/>
        <v>trave a spessore</v>
      </c>
      <c r="BU307" s="88" t="s">
        <v>79</v>
      </c>
      <c r="BV307" s="47"/>
      <c r="BW307" s="47"/>
      <c r="BX307" s="47"/>
      <c r="BY307" s="47"/>
      <c r="BZ307" s="46"/>
      <c r="CA307" s="43" t="str">
        <f>AE307</f>
        <v>trave a spessore</v>
      </c>
      <c r="CB307" s="47"/>
      <c r="CC307" s="47"/>
      <c r="CD307" s="47"/>
      <c r="CE307" s="47"/>
      <c r="CF307" s="46"/>
      <c r="CG307" s="43" t="str">
        <f t="shared" si="172"/>
        <v>trave a spessore</v>
      </c>
    </row>
    <row r="308" spans="1:95" x14ac:dyDescent="0.25">
      <c r="A308" s="88" t="s">
        <v>80</v>
      </c>
      <c r="B308" s="71"/>
      <c r="C308" s="98"/>
      <c r="D308" s="98"/>
      <c r="E308" s="98"/>
      <c r="F308" s="99"/>
      <c r="G308" s="88" t="s">
        <v>80</v>
      </c>
      <c r="H308" s="98"/>
      <c r="I308" s="98"/>
      <c r="J308" s="98"/>
      <c r="K308" s="98"/>
      <c r="L308" s="99"/>
      <c r="M308" s="88" t="s">
        <v>80</v>
      </c>
      <c r="N308" s="91"/>
      <c r="O308" s="91"/>
      <c r="P308" s="91"/>
      <c r="Q308" s="91"/>
      <c r="R308" s="91"/>
      <c r="S308" s="91"/>
      <c r="T308" s="91"/>
      <c r="U308" s="91"/>
      <c r="Y308" s="134" t="s">
        <v>80</v>
      </c>
      <c r="Z308" s="98"/>
      <c r="AA308" s="141"/>
      <c r="AB308" s="98"/>
      <c r="AC308" s="141"/>
      <c r="AD308" s="98"/>
      <c r="AE308" s="134" t="s">
        <v>80</v>
      </c>
      <c r="AF308" s="98">
        <v>1</v>
      </c>
      <c r="AG308" s="98">
        <f>AF308*'analisi dei carichi'!E29</f>
        <v>5.7200000000000006</v>
      </c>
      <c r="AH308" s="98">
        <f>AF308*'analisi dei carichi'!H29</f>
        <v>7.4360000000000008</v>
      </c>
      <c r="AI308" s="98">
        <f>AF308*'analisi dei carichi'!K29</f>
        <v>7.4360000000000008</v>
      </c>
      <c r="AJ308" s="98">
        <f>AF308*'analisi dei carichi'!N29</f>
        <v>5.7200000000000006</v>
      </c>
      <c r="AK308" s="88" t="s">
        <v>80</v>
      </c>
      <c r="AL308" s="98">
        <f>4.3/2</f>
        <v>2.15</v>
      </c>
      <c r="AM308" s="98">
        <f>AL308*'analisi dei carichi'!E29</f>
        <v>12.298</v>
      </c>
      <c r="AN308" s="98">
        <f>AL308*'analisi dei carichi'!H29</f>
        <v>15.987400000000001</v>
      </c>
      <c r="AO308" s="98">
        <f>AL308*'analisi dei carichi'!K29</f>
        <v>15.987400000000001</v>
      </c>
      <c r="AP308" s="98">
        <f>AL308*'analisi dei carichi'!N29</f>
        <v>12.298</v>
      </c>
      <c r="AW308" s="88" t="s">
        <v>80</v>
      </c>
      <c r="BC308" s="43" t="str">
        <f>AE308</f>
        <v>tamponatura</v>
      </c>
      <c r="BD308" s="43">
        <f>AF308</f>
        <v>1</v>
      </c>
      <c r="BE308" s="43">
        <f>AG308</f>
        <v>5.7200000000000006</v>
      </c>
      <c r="BF308" s="43">
        <f>AH308</f>
        <v>7.4360000000000008</v>
      </c>
      <c r="BG308" s="43">
        <f>AI308</f>
        <v>7.4360000000000008</v>
      </c>
      <c r="BH308" s="43">
        <f>AJ308</f>
        <v>5.7200000000000006</v>
      </c>
      <c r="BI308" s="43" t="str">
        <f t="shared" si="170"/>
        <v>tamponatura</v>
      </c>
      <c r="BJ308" s="43">
        <f>AL308</f>
        <v>2.15</v>
      </c>
      <c r="BK308" s="43">
        <f>AM308</f>
        <v>12.298</v>
      </c>
      <c r="BL308" s="43">
        <f>AN308</f>
        <v>15.987400000000001</v>
      </c>
      <c r="BM308" s="43">
        <f>AO308</f>
        <v>15.987400000000001</v>
      </c>
      <c r="BN308" s="43">
        <f>AP308</f>
        <v>12.298</v>
      </c>
      <c r="BU308" s="88" t="s">
        <v>80</v>
      </c>
      <c r="BV308" s="48"/>
      <c r="BW308" s="48"/>
      <c r="BX308" s="48"/>
      <c r="BY308" s="48"/>
      <c r="BZ308" s="49"/>
      <c r="CA308" s="43" t="str">
        <f>AE308</f>
        <v>tamponatura</v>
      </c>
      <c r="CB308" s="48">
        <f>AF308</f>
        <v>1</v>
      </c>
      <c r="CC308" s="48">
        <f>AG308</f>
        <v>5.7200000000000006</v>
      </c>
      <c r="CD308" s="48">
        <f>AH308</f>
        <v>7.4360000000000008</v>
      </c>
      <c r="CE308" s="48">
        <f>AI308</f>
        <v>7.4360000000000008</v>
      </c>
      <c r="CF308" s="49">
        <f>AJ308</f>
        <v>5.7200000000000006</v>
      </c>
      <c r="CG308" s="43" t="str">
        <f t="shared" si="172"/>
        <v>tamponatura</v>
      </c>
      <c r="CH308" s="43">
        <f>AL308</f>
        <v>2.15</v>
      </c>
      <c r="CI308" s="43">
        <f>AM308</f>
        <v>12.298</v>
      </c>
      <c r="CJ308" s="43">
        <f>AN308</f>
        <v>15.987400000000001</v>
      </c>
      <c r="CK308" s="43">
        <f>AO308</f>
        <v>15.987400000000001</v>
      </c>
      <c r="CL308" s="43">
        <f>AP308</f>
        <v>12.298</v>
      </c>
    </row>
    <row r="309" spans="1:95" x14ac:dyDescent="0.25">
      <c r="A309" s="88" t="s">
        <v>55</v>
      </c>
      <c r="B309" s="65"/>
      <c r="C309" s="91">
        <f>SUM(C303:C308)</f>
        <v>14.364099999999997</v>
      </c>
      <c r="D309" s="91">
        <f>SUM(D303:D308)</f>
        <v>18.673329999999996</v>
      </c>
      <c r="E309" s="91">
        <f>SUM(E303:E308)</f>
        <v>26.803329999999995</v>
      </c>
      <c r="F309" s="91">
        <f>SUM(F303:F308)</f>
        <v>15.990099999999996</v>
      </c>
      <c r="G309" s="88" t="s">
        <v>55</v>
      </c>
      <c r="H309" s="91"/>
      <c r="I309" s="91">
        <f>SUM(I303:I308)</f>
        <v>6.8550000000000004</v>
      </c>
      <c r="J309" s="91">
        <f>SUM(J303:J308)</f>
        <v>8.9115000000000002</v>
      </c>
      <c r="K309" s="91">
        <f>SUM(K303:K308)</f>
        <v>9.6615000000000002</v>
      </c>
      <c r="L309" s="91">
        <f>SUM(L303:L308)</f>
        <v>6.8550000000000004</v>
      </c>
      <c r="M309" s="88" t="s">
        <v>55</v>
      </c>
      <c r="N309" s="91"/>
      <c r="O309" s="91"/>
      <c r="P309" s="91"/>
      <c r="Q309" s="91"/>
      <c r="R309" s="91"/>
      <c r="S309" s="91"/>
      <c r="T309" s="91"/>
      <c r="U309" s="91"/>
      <c r="Y309" s="134" t="s">
        <v>55</v>
      </c>
      <c r="AA309" s="134">
        <f>SUM(AA303:AA308)</f>
        <v>16.926676</v>
      </c>
      <c r="AB309" s="91">
        <f>SUM(AB303:AB308)</f>
        <v>22.655078799999998</v>
      </c>
      <c r="AC309" s="134">
        <f>SUM(AC303:AC308)</f>
        <v>30.785078800000001</v>
      </c>
      <c r="AD309" s="91">
        <f>SUM(AD303:AD308)</f>
        <v>18.552675999999998</v>
      </c>
      <c r="AE309" s="134" t="s">
        <v>55</v>
      </c>
      <c r="AG309" s="91">
        <f>SUM(AG303:AG308)</f>
        <v>20.556899999999999</v>
      </c>
      <c r="AH309" s="91">
        <f>SUM(AH303:AH308)</f>
        <v>26.843969999999999</v>
      </c>
      <c r="AI309" s="91">
        <f>SUM(AI303:AI308)</f>
        <v>41.603970000000004</v>
      </c>
      <c r="AJ309" s="91">
        <f>SUM(AJ303:AJ308)</f>
        <v>18.162800000000001</v>
      </c>
      <c r="AK309" s="88" t="s">
        <v>55</v>
      </c>
      <c r="AM309" s="91">
        <f>SUM(AM303:AM308)</f>
        <v>12.298</v>
      </c>
      <c r="AN309" s="91">
        <f>SUM(AN303:AN308)</f>
        <v>15.987400000000001</v>
      </c>
      <c r="AO309" s="91">
        <f>SUM(AO303:AO308)</f>
        <v>15.987400000000001</v>
      </c>
      <c r="AP309" s="91">
        <f>SUM(AP303:AP308)</f>
        <v>12.298</v>
      </c>
      <c r="AW309" s="88" t="s">
        <v>55</v>
      </c>
      <c r="AY309" s="43">
        <f>SUM(AY303:AY308)</f>
        <v>17.676676</v>
      </c>
      <c r="AZ309" s="43">
        <f>SUM(AZ303:AZ308)</f>
        <v>23.6300788</v>
      </c>
      <c r="BA309" s="43">
        <f>SUM(BA303:BA308)</f>
        <v>31.760078800000002</v>
      </c>
      <c r="BB309" s="43">
        <f>SUM(BB303:BB308)</f>
        <v>19.302675999999998</v>
      </c>
      <c r="BC309" s="88" t="s">
        <v>55</v>
      </c>
      <c r="BE309" s="43">
        <f>SUM(BE303:BE308)</f>
        <v>21.306899999999999</v>
      </c>
      <c r="BF309" s="43">
        <f>SUM(BF303:BF308)</f>
        <v>27.818969999999997</v>
      </c>
      <c r="BG309" s="43">
        <f>SUM(BG303:BG308)</f>
        <v>42.578969999999998</v>
      </c>
      <c r="BH309" s="43">
        <f>SUM(BH303:BH308)</f>
        <v>18.912800000000001</v>
      </c>
      <c r="BI309" s="43" t="str">
        <f t="shared" si="170"/>
        <v>totale</v>
      </c>
      <c r="BK309" s="43">
        <f>AM309</f>
        <v>12.298</v>
      </c>
      <c r="BL309" s="43">
        <f>AN309</f>
        <v>15.987400000000001</v>
      </c>
      <c r="BM309" s="43">
        <f>AO309</f>
        <v>15.987400000000001</v>
      </c>
      <c r="BN309" s="43">
        <f>AP309</f>
        <v>12.298</v>
      </c>
      <c r="BU309" s="88" t="s">
        <v>55</v>
      </c>
      <c r="BW309" s="43">
        <f>SUM(BW303:BW308)</f>
        <v>17.676676</v>
      </c>
      <c r="BX309" s="43">
        <f>SUM(BX303:BX308)</f>
        <v>23.6300788</v>
      </c>
      <c r="BY309" s="43">
        <f>SUM(BY303:BY308)</f>
        <v>31.760078800000002</v>
      </c>
      <c r="BZ309" s="43">
        <f>SUM(BZ303:BZ308)</f>
        <v>19.302675999999998</v>
      </c>
      <c r="CC309" s="43">
        <f>SUM(CC303:CC308)</f>
        <v>12.002800000000001</v>
      </c>
      <c r="CD309" s="43">
        <f>SUM(CD303:CD308)</f>
        <v>15.72364</v>
      </c>
      <c r="CE309" s="43">
        <f>SUM(CE303:CE308)</f>
        <v>17.22364</v>
      </c>
      <c r="CF309" s="43">
        <f>SUM(CF303:CF308)</f>
        <v>12.302800000000001</v>
      </c>
      <c r="CI309" s="43">
        <f>AM309</f>
        <v>12.298</v>
      </c>
      <c r="CJ309" s="43">
        <f>AN309</f>
        <v>15.987400000000001</v>
      </c>
      <c r="CK309" s="43">
        <f>AO309</f>
        <v>15.987400000000001</v>
      </c>
      <c r="CL309" s="43">
        <f>AP309</f>
        <v>12.298</v>
      </c>
    </row>
    <row r="310" spans="1:95" x14ac:dyDescent="0.25">
      <c r="C310" s="43">
        <f>C309*$D$301</f>
        <v>35.479326999999998</v>
      </c>
      <c r="D310" s="43">
        <f>D309*$D$301</f>
        <v>46.123125099999996</v>
      </c>
      <c r="E310" s="43">
        <f>E309*$D$301</f>
        <v>66.204225099999988</v>
      </c>
      <c r="F310" s="43">
        <f>F309*$D$301</f>
        <v>39.495546999999995</v>
      </c>
      <c r="I310" s="43">
        <f>I309*$J$301</f>
        <v>14.32695</v>
      </c>
      <c r="J310" s="43">
        <f>J309*$J$301</f>
        <v>18.625035</v>
      </c>
      <c r="K310" s="43">
        <f>K309*$J$301</f>
        <v>20.192534999999999</v>
      </c>
      <c r="L310" s="43">
        <f>L309*$J$301</f>
        <v>14.32695</v>
      </c>
      <c r="AA310" s="134">
        <f>AA309*$AA$301</f>
        <v>41.808889720000003</v>
      </c>
      <c r="AB310" s="91">
        <f>AB309*$AA$301</f>
        <v>55.958044635999997</v>
      </c>
      <c r="AC310" s="134">
        <f>AC309*$AA$301</f>
        <v>76.039144636000003</v>
      </c>
      <c r="AD310" s="91">
        <f>AD309*$AA$301</f>
        <v>45.82510972</v>
      </c>
      <c r="AG310" s="91">
        <f>AG309*$AG$301</f>
        <v>42.963920999999992</v>
      </c>
      <c r="AH310" s="91">
        <f>AH309*$AG$301</f>
        <v>56.103897299999993</v>
      </c>
      <c r="AI310" s="91">
        <f>AI309*$AG$301</f>
        <v>86.952297299999998</v>
      </c>
      <c r="AJ310" s="91">
        <f>AJ309*$AG$301</f>
        <v>37.960251999999997</v>
      </c>
      <c r="AY310" s="43">
        <f>AY309*$AY$301</f>
        <v>43.661389720000003</v>
      </c>
      <c r="AZ310" s="43">
        <f>AZ309*$AY$301</f>
        <v>58.366294636000006</v>
      </c>
      <c r="BA310" s="43">
        <f>BA309*$AY$301</f>
        <v>78.447394636000013</v>
      </c>
      <c r="BB310" s="43">
        <f>BB309*$AY$301</f>
        <v>47.67760972</v>
      </c>
      <c r="BE310" s="43">
        <f>BE309*$BE$301</f>
        <v>44.531420999999995</v>
      </c>
      <c r="BF310" s="43">
        <f>BF309*$BE$301</f>
        <v>58.141647299999988</v>
      </c>
      <c r="BG310" s="43">
        <f>BG309*$BE$301</f>
        <v>88.990047299999986</v>
      </c>
      <c r="BH310" s="43">
        <f>BH309*$BE$301</f>
        <v>39.527752</v>
      </c>
      <c r="BW310" s="43">
        <f>BW309*$BW$301</f>
        <v>43.661389720000003</v>
      </c>
      <c r="BX310" s="43">
        <f>BX309*$BW$301</f>
        <v>58.366294636000006</v>
      </c>
      <c r="BY310" s="43">
        <f>BY309*$BW$301</f>
        <v>78.447394636000013</v>
      </c>
      <c r="BZ310" s="43">
        <f>BZ309*$BW$301</f>
        <v>47.67760972</v>
      </c>
      <c r="CC310" s="43">
        <f>CC309*$CC$301</f>
        <v>25.085851999999999</v>
      </c>
      <c r="CD310" s="43">
        <f>CD309*$CC$301</f>
        <v>32.862407599999997</v>
      </c>
      <c r="CE310" s="43">
        <f>CE309*$CC$301</f>
        <v>35.997407599999995</v>
      </c>
      <c r="CF310" s="43">
        <f>CF309*$CC$301</f>
        <v>25.712852000000002</v>
      </c>
    </row>
    <row r="311" spans="1:95" x14ac:dyDescent="0.25">
      <c r="C311" s="63" t="s">
        <v>143</v>
      </c>
      <c r="D311" s="62" t="s">
        <v>145</v>
      </c>
    </row>
    <row r="312" spans="1:95" x14ac:dyDescent="0.25">
      <c r="A312" s="88"/>
      <c r="B312" s="64" t="s">
        <v>254</v>
      </c>
      <c r="D312" s="43" t="s">
        <v>249</v>
      </c>
      <c r="K312" s="43" t="s">
        <v>250</v>
      </c>
      <c r="P312" s="43" t="s">
        <v>251</v>
      </c>
      <c r="V312" s="43" t="s">
        <v>252</v>
      </c>
      <c r="Z312" s="88"/>
      <c r="AA312" s="138" t="s">
        <v>254</v>
      </c>
      <c r="AB312" s="43"/>
      <c r="AC312" s="74" t="s">
        <v>249</v>
      </c>
      <c r="AD312" s="43"/>
      <c r="AE312" s="74"/>
      <c r="AF312" s="43"/>
      <c r="AG312" s="43"/>
      <c r="AH312" s="43"/>
      <c r="AI312" s="43" t="s">
        <v>250</v>
      </c>
      <c r="AJ312" s="43"/>
      <c r="AK312" s="43"/>
      <c r="AM312" s="43"/>
      <c r="AN312" s="43" t="s">
        <v>251</v>
      </c>
      <c r="AO312" s="43"/>
      <c r="AP312" s="43"/>
      <c r="AQ312" s="43"/>
      <c r="AR312" s="43"/>
      <c r="AS312" s="43"/>
      <c r="AT312" s="43" t="s">
        <v>252</v>
      </c>
      <c r="AW312" s="91"/>
      <c r="AX312" s="65"/>
      <c r="AY312" s="64" t="s">
        <v>254</v>
      </c>
      <c r="BA312" s="43" t="s">
        <v>249</v>
      </c>
      <c r="BG312" s="43" t="s">
        <v>250</v>
      </c>
      <c r="BM312" s="43" t="s">
        <v>251</v>
      </c>
      <c r="BR312" s="43" t="s">
        <v>252</v>
      </c>
      <c r="BV312" s="65"/>
      <c r="BW312" s="64" t="s">
        <v>254</v>
      </c>
      <c r="BY312" s="43" t="s">
        <v>249</v>
      </c>
      <c r="CE312" s="43" t="s">
        <v>250</v>
      </c>
      <c r="CJ312" s="43" t="s">
        <v>251</v>
      </c>
      <c r="CP312" s="43" t="s">
        <v>252</v>
      </c>
    </row>
    <row r="313" spans="1:95" x14ac:dyDescent="0.25">
      <c r="A313" s="67">
        <v>6</v>
      </c>
      <c r="B313" s="66" t="s">
        <v>146</v>
      </c>
      <c r="C313" s="43" t="s">
        <v>51</v>
      </c>
      <c r="D313" s="91">
        <v>2.1</v>
      </c>
      <c r="E313" s="91"/>
      <c r="F313" s="91"/>
      <c r="H313" s="91"/>
      <c r="I313" s="91"/>
      <c r="J313" s="43" t="s">
        <v>51</v>
      </c>
      <c r="K313" s="91">
        <v>1.3</v>
      </c>
      <c r="L313" s="91"/>
      <c r="N313" s="91"/>
      <c r="O313" s="91"/>
      <c r="P313" s="91"/>
      <c r="Q313" s="91"/>
      <c r="R313" s="91"/>
      <c r="S313" s="91"/>
      <c r="T313" s="91"/>
      <c r="U313" s="91"/>
      <c r="Z313" s="43" t="s">
        <v>51</v>
      </c>
      <c r="AA313" s="134">
        <v>2.1</v>
      </c>
      <c r="AD313" s="43"/>
      <c r="AG313" s="43" t="s">
        <v>51</v>
      </c>
      <c r="AH313" s="91">
        <v>1.3</v>
      </c>
      <c r="AW313" s="91"/>
      <c r="AY313" s="43" t="s">
        <v>51</v>
      </c>
      <c r="AZ313" s="91">
        <v>2.1</v>
      </c>
      <c r="BA313" s="91"/>
      <c r="BB313" s="91"/>
      <c r="BD313" s="91"/>
      <c r="BE313" s="91"/>
      <c r="BF313" s="43" t="s">
        <v>51</v>
      </c>
      <c r="BG313" s="91">
        <v>1.3</v>
      </c>
      <c r="BU313" s="91"/>
      <c r="BW313" s="43" t="s">
        <v>51</v>
      </c>
      <c r="BX313" s="91">
        <v>2.1</v>
      </c>
      <c r="BY313" s="91"/>
      <c r="BZ313" s="91"/>
      <c r="CB313" s="91"/>
      <c r="CC313" s="91"/>
      <c r="CD313" s="43" t="s">
        <v>51</v>
      </c>
      <c r="CE313" s="91">
        <v>1.3</v>
      </c>
    </row>
    <row r="314" spans="1:95" x14ac:dyDescent="0.25">
      <c r="A314" s="88"/>
      <c r="B314" s="68" t="s">
        <v>51</v>
      </c>
      <c r="C314" s="68" t="s">
        <v>37</v>
      </c>
      <c r="D314" s="68" t="s">
        <v>39</v>
      </c>
      <c r="E314" s="68" t="s">
        <v>92</v>
      </c>
      <c r="F314" s="69" t="s">
        <v>91</v>
      </c>
      <c r="H314" s="68" t="s">
        <v>51</v>
      </c>
      <c r="I314" s="68" t="s">
        <v>37</v>
      </c>
      <c r="J314" s="68" t="s">
        <v>39</v>
      </c>
      <c r="K314" s="68" t="s">
        <v>92</v>
      </c>
      <c r="L314" s="69" t="s">
        <v>91</v>
      </c>
      <c r="N314" s="68" t="s">
        <v>51</v>
      </c>
      <c r="O314" s="68" t="s">
        <v>37</v>
      </c>
      <c r="P314" s="68" t="s">
        <v>39</v>
      </c>
      <c r="Q314" s="68" t="s">
        <v>92</v>
      </c>
      <c r="R314" s="69" t="s">
        <v>91</v>
      </c>
      <c r="T314" s="68" t="s">
        <v>37</v>
      </c>
      <c r="U314" s="68" t="s">
        <v>39</v>
      </c>
      <c r="V314" s="68" t="s">
        <v>92</v>
      </c>
      <c r="W314" s="69" t="s">
        <v>91</v>
      </c>
      <c r="Y314" s="134">
        <v>5</v>
      </c>
      <c r="Z314" s="68" t="s">
        <v>51</v>
      </c>
      <c r="AA314" s="137" t="s">
        <v>37</v>
      </c>
      <c r="AB314" s="68" t="s">
        <v>39</v>
      </c>
      <c r="AC314" s="137" t="s">
        <v>92</v>
      </c>
      <c r="AD314" s="69" t="s">
        <v>91</v>
      </c>
      <c r="AF314" s="68" t="s">
        <v>51</v>
      </c>
      <c r="AG314" s="68" t="s">
        <v>37</v>
      </c>
      <c r="AH314" s="68" t="s">
        <v>39</v>
      </c>
      <c r="AI314" s="68" t="s">
        <v>92</v>
      </c>
      <c r="AJ314" s="69" t="s">
        <v>91</v>
      </c>
      <c r="AK314" s="43"/>
      <c r="AL314" s="68" t="s">
        <v>51</v>
      </c>
      <c r="AM314" s="68" t="s">
        <v>37</v>
      </c>
      <c r="AN314" s="68" t="s">
        <v>39</v>
      </c>
      <c r="AO314" s="68" t="s">
        <v>92</v>
      </c>
      <c r="AP314" s="69" t="s">
        <v>91</v>
      </c>
      <c r="AQ314" s="43"/>
      <c r="AR314" s="68" t="s">
        <v>37</v>
      </c>
      <c r="AS314" s="68" t="s">
        <v>39</v>
      </c>
      <c r="AT314" s="68" t="s">
        <v>92</v>
      </c>
      <c r="AU314" s="69" t="s">
        <v>91</v>
      </c>
      <c r="AW314" s="67" t="s">
        <v>96</v>
      </c>
      <c r="AX314" s="68" t="s">
        <v>51</v>
      </c>
      <c r="AY314" s="68" t="s">
        <v>37</v>
      </c>
      <c r="AZ314" s="68" t="s">
        <v>39</v>
      </c>
      <c r="BA314" s="68" t="s">
        <v>92</v>
      </c>
      <c r="BB314" s="69" t="s">
        <v>91</v>
      </c>
      <c r="BC314" s="65"/>
      <c r="BD314" s="68" t="s">
        <v>51</v>
      </c>
      <c r="BE314" s="68" t="s">
        <v>37</v>
      </c>
      <c r="BF314" s="68" t="s">
        <v>39</v>
      </c>
      <c r="BG314" s="68" t="s">
        <v>92</v>
      </c>
      <c r="BH314" s="69" t="s">
        <v>91</v>
      </c>
      <c r="BJ314" s="68" t="s">
        <v>51</v>
      </c>
      <c r="BK314" s="68" t="s">
        <v>37</v>
      </c>
      <c r="BL314" s="68" t="s">
        <v>39</v>
      </c>
      <c r="BM314" s="68" t="s">
        <v>92</v>
      </c>
      <c r="BN314" s="69" t="s">
        <v>91</v>
      </c>
      <c r="BP314" s="68" t="s">
        <v>37</v>
      </c>
      <c r="BQ314" s="68" t="s">
        <v>39</v>
      </c>
      <c r="BR314" s="68" t="s">
        <v>92</v>
      </c>
      <c r="BS314" s="69" t="s">
        <v>91</v>
      </c>
      <c r="BU314" s="88">
        <v>1</v>
      </c>
      <c r="BV314" s="68" t="s">
        <v>51</v>
      </c>
      <c r="BW314" s="68" t="s">
        <v>37</v>
      </c>
      <c r="BX314" s="68" t="s">
        <v>39</v>
      </c>
      <c r="BY314" s="68" t="s">
        <v>92</v>
      </c>
      <c r="BZ314" s="69" t="s">
        <v>91</v>
      </c>
      <c r="CA314" s="65"/>
      <c r="CB314" s="68" t="s">
        <v>51</v>
      </c>
      <c r="CC314" s="68" t="s">
        <v>37</v>
      </c>
      <c r="CD314" s="68" t="s">
        <v>39</v>
      </c>
      <c r="CE314" s="68" t="s">
        <v>92</v>
      </c>
      <c r="CF314" s="69" t="s">
        <v>91</v>
      </c>
      <c r="CH314" s="68" t="s">
        <v>51</v>
      </c>
      <c r="CI314" s="68" t="s">
        <v>37</v>
      </c>
      <c r="CJ314" s="68" t="s">
        <v>39</v>
      </c>
      <c r="CK314" s="68" t="s">
        <v>92</v>
      </c>
      <c r="CL314" s="69" t="s">
        <v>91</v>
      </c>
      <c r="CN314" s="68" t="s">
        <v>37</v>
      </c>
      <c r="CO314" s="68" t="s">
        <v>39</v>
      </c>
      <c r="CP314" s="68" t="s">
        <v>92</v>
      </c>
      <c r="CQ314" s="69" t="s">
        <v>91</v>
      </c>
    </row>
    <row r="315" spans="1:95" x14ac:dyDescent="0.25">
      <c r="A315" s="88" t="s">
        <v>56</v>
      </c>
      <c r="B315" s="47">
        <f>4.68/2</f>
        <v>2.34</v>
      </c>
      <c r="C315" s="47">
        <f>B315*'analisi dei carichi'!E35</f>
        <v>9.8513999999999964</v>
      </c>
      <c r="D315" s="47">
        <f>B315*'analisi dei carichi'!H35</f>
        <v>12.806819999999997</v>
      </c>
      <c r="E315" s="47">
        <f>B315*'analisi dei carichi'!K35</f>
        <v>19.826819999999998</v>
      </c>
      <c r="F315" s="46">
        <f>B315*'analisi dei carichi'!N35</f>
        <v>11.255399999999996</v>
      </c>
      <c r="G315" s="88" t="s">
        <v>56</v>
      </c>
      <c r="H315" s="47">
        <f>(4.42/2)+(4.68/2)</f>
        <v>4.55</v>
      </c>
      <c r="I315" s="47">
        <f>H315*'analisi dei carichi'!E35</f>
        <v>19.155499999999996</v>
      </c>
      <c r="J315" s="47">
        <f>H315*'analisi dei carichi'!H35</f>
        <v>24.902149999999995</v>
      </c>
      <c r="K315" s="47">
        <f>H315*'analisi dei carichi'!K35</f>
        <v>38.55214999999999</v>
      </c>
      <c r="L315" s="46">
        <f>H315*'analisi dei carichi'!N35</f>
        <v>21.885499999999993</v>
      </c>
      <c r="M315" s="88" t="s">
        <v>56</v>
      </c>
      <c r="N315" s="47"/>
      <c r="O315" s="47"/>
      <c r="P315" s="47"/>
      <c r="Q315" s="46"/>
      <c r="T315" s="43">
        <f>(C322+I322)/3.4</f>
        <v>17.568261764705877</v>
      </c>
      <c r="U315" s="43">
        <f>(D322+J322)/3.4</f>
        <v>22.838740294117645</v>
      </c>
      <c r="V315" s="43">
        <f>(E322+K322)/3.4</f>
        <v>32.625357941176468</v>
      </c>
      <c r="W315" s="43">
        <f>(F322+L322)/3.4</f>
        <v>19.479261764705875</v>
      </c>
      <c r="X315" s="101"/>
      <c r="Y315" s="134" t="s">
        <v>56</v>
      </c>
      <c r="Z315" s="43">
        <f>B315</f>
        <v>2.34</v>
      </c>
      <c r="AA315" s="134">
        <f>Z315*'analisi dei carichi'!O28</f>
        <v>12.064103999999999</v>
      </c>
      <c r="AB315" s="91">
        <f>Z315*'analisi dei carichi'!P28</f>
        <v>16.244935199999997</v>
      </c>
      <c r="AC315" s="134">
        <f>Z315*'analisi dei carichi'!K28</f>
        <v>23.2649352</v>
      </c>
      <c r="AD315" s="91">
        <f>Z315*'analisi dei carichi'!N28</f>
        <v>13.468103999999999</v>
      </c>
      <c r="AE315" s="134" t="s">
        <v>56</v>
      </c>
      <c r="AF315" s="43">
        <f>H315</f>
        <v>4.55</v>
      </c>
      <c r="AG315" s="91">
        <f>AF315*'analisi dei carichi'!O28</f>
        <v>23.457979999999999</v>
      </c>
      <c r="AH315" s="91">
        <f>AF315*'analisi dei carichi'!P28</f>
        <v>31.587373999999997</v>
      </c>
      <c r="AI315" s="91">
        <f>AF315*'analisi dei carichi'!K28</f>
        <v>45.237374000000003</v>
      </c>
      <c r="AJ315" s="91">
        <f>AF315*'analisi dei carichi'!N28</f>
        <v>26.187979999999996</v>
      </c>
      <c r="AK315" s="88" t="s">
        <v>56</v>
      </c>
      <c r="AR315" s="91">
        <f>(AA322+AG322+AM321)/3.4</f>
        <v>32.272235999999999</v>
      </c>
      <c r="AS315" s="91">
        <f>(AB322+AH322+AN321)/3.4</f>
        <v>42.718306799999993</v>
      </c>
      <c r="AT315" s="91">
        <f>(AC322+AI322+AO321)/3.4</f>
        <v>60.463306800000012</v>
      </c>
      <c r="AU315" s="91">
        <f>(AD322+AJ322+AP321)/3.4</f>
        <v>37.45923599999999</v>
      </c>
      <c r="AW315" s="88" t="s">
        <v>56</v>
      </c>
      <c r="AX315" s="43">
        <f>Z315</f>
        <v>2.34</v>
      </c>
      <c r="AY315" s="43">
        <f t="shared" ref="AY315:BH316" si="175">AA315</f>
        <v>12.064103999999999</v>
      </c>
      <c r="AZ315" s="43">
        <f t="shared" si="175"/>
        <v>16.244935199999997</v>
      </c>
      <c r="BA315" s="43">
        <f t="shared" si="175"/>
        <v>23.2649352</v>
      </c>
      <c r="BB315" s="43">
        <f t="shared" si="175"/>
        <v>13.468103999999999</v>
      </c>
      <c r="BC315" s="88" t="s">
        <v>56</v>
      </c>
      <c r="BD315" s="43">
        <f t="shared" si="175"/>
        <v>4.55</v>
      </c>
      <c r="BE315" s="43">
        <f t="shared" si="175"/>
        <v>23.457979999999999</v>
      </c>
      <c r="BF315" s="43">
        <f t="shared" si="175"/>
        <v>31.587373999999997</v>
      </c>
      <c r="BG315" s="43">
        <f t="shared" si="175"/>
        <v>45.237374000000003</v>
      </c>
      <c r="BH315" s="43">
        <f t="shared" si="175"/>
        <v>26.187979999999996</v>
      </c>
      <c r="BP315" s="43">
        <f>(AY322+BE322+BK321)/3.4</f>
        <v>33.022235999999999</v>
      </c>
      <c r="BQ315" s="43">
        <f>(AZ322+BF322+BL321)/3.4</f>
        <v>43.693306799999995</v>
      </c>
      <c r="BR315" s="43">
        <f>(BA322+BG322+BM321)/3.4</f>
        <v>61.438306800000007</v>
      </c>
      <c r="BS315" s="43">
        <f>(BB322+BH322+BN321)/3.4</f>
        <v>38.209235999999997</v>
      </c>
      <c r="BU315" s="88" t="s">
        <v>56</v>
      </c>
      <c r="BV315" s="43">
        <f>AX315</f>
        <v>2.34</v>
      </c>
      <c r="BW315" s="43">
        <f>AY315</f>
        <v>12.064103999999999</v>
      </c>
      <c r="BX315" s="43">
        <f>AZ315</f>
        <v>16.244935199999997</v>
      </c>
      <c r="BY315" s="43">
        <f>BA315</f>
        <v>23.2649352</v>
      </c>
      <c r="BZ315" s="43">
        <f>BB315</f>
        <v>13.468103999999999</v>
      </c>
      <c r="CA315" s="88" t="s">
        <v>56</v>
      </c>
      <c r="CB315" s="43">
        <f>BD315</f>
        <v>4.55</v>
      </c>
      <c r="CC315" s="43">
        <f>BE315</f>
        <v>23.457979999999999</v>
      </c>
      <c r="CD315" s="43">
        <f>BF315</f>
        <v>31.587373999999997</v>
      </c>
      <c r="CE315" s="43">
        <f>BG315</f>
        <v>45.237374000000003</v>
      </c>
      <c r="CF315" s="43">
        <f>BH315</f>
        <v>26.187979999999996</v>
      </c>
      <c r="CN315" s="43">
        <f>(BW322+CC322+CI321)/3.4</f>
        <v>27.275585999999997</v>
      </c>
      <c r="CO315" s="43">
        <f>(BX322+CD322+CJ321)/3.4</f>
        <v>36.222661800000004</v>
      </c>
      <c r="CP315" s="43">
        <f>(BY322+CE322+CK321)/3.4</f>
        <v>45.777661800000004</v>
      </c>
      <c r="CQ315" s="43">
        <f>(BZ322+CF322+CL321)/3.4</f>
        <v>29.186586000000002</v>
      </c>
    </row>
    <row r="316" spans="1:95" x14ac:dyDescent="0.25">
      <c r="A316" s="88" t="s">
        <v>340</v>
      </c>
      <c r="B316" s="47">
        <v>0.5</v>
      </c>
      <c r="C316" s="47">
        <f>B316*'analisi dei carichi'!E38</f>
        <v>1.95</v>
      </c>
      <c r="D316" s="47">
        <f>B316*'analisi dei carichi'!H38</f>
        <v>2.5350000000000001</v>
      </c>
      <c r="E316" s="47">
        <f>B316*'analisi dei carichi'!K38</f>
        <v>2.91</v>
      </c>
      <c r="F316" s="46">
        <f>B316*'analisi dei carichi'!N38</f>
        <v>1.95</v>
      </c>
      <c r="G316" s="88" t="s">
        <v>340</v>
      </c>
      <c r="H316" s="47"/>
      <c r="I316" s="47"/>
      <c r="J316" s="47"/>
      <c r="K316" s="47"/>
      <c r="L316" s="46"/>
      <c r="M316" s="88" t="s">
        <v>340</v>
      </c>
      <c r="N316" s="47"/>
      <c r="O316" s="47"/>
      <c r="P316" s="47"/>
      <c r="Q316" s="46"/>
      <c r="V316" s="43"/>
      <c r="W316" s="43"/>
      <c r="X316" s="101"/>
      <c r="Y316" s="88" t="s">
        <v>340</v>
      </c>
      <c r="Z316" s="91">
        <f>4.42/2</f>
        <v>2.21</v>
      </c>
      <c r="AA316" s="134">
        <f>Z316*'analisi dei carichi'!E32</f>
        <v>9.3040999999999983</v>
      </c>
      <c r="AB316" s="91">
        <f>Z316*'analisi dei carichi'!H32</f>
        <v>12.095329999999997</v>
      </c>
      <c r="AC316" s="134">
        <f>Z316*'analisi dei carichi'!K32</f>
        <v>25.355329999999999</v>
      </c>
      <c r="AD316" s="91">
        <f>Z316*'analisi dei carichi'!N32</f>
        <v>14.608099999999999</v>
      </c>
      <c r="AE316" s="88" t="s">
        <v>340</v>
      </c>
      <c r="AF316" s="43"/>
      <c r="AK316" s="88" t="s">
        <v>340</v>
      </c>
      <c r="AW316" s="88" t="s">
        <v>340</v>
      </c>
      <c r="AX316" s="43">
        <f>Z316</f>
        <v>2.21</v>
      </c>
      <c r="AY316" s="43">
        <f t="shared" si="175"/>
        <v>9.3040999999999983</v>
      </c>
      <c r="AZ316" s="43">
        <f t="shared" si="175"/>
        <v>12.095329999999997</v>
      </c>
      <c r="BA316" s="43">
        <f t="shared" si="175"/>
        <v>25.355329999999999</v>
      </c>
      <c r="BB316" s="43">
        <f t="shared" si="175"/>
        <v>14.608099999999999</v>
      </c>
      <c r="BC316" s="88" t="s">
        <v>340</v>
      </c>
      <c r="BI316" s="43" t="str">
        <f>AK316</f>
        <v>terrazzino/corn</v>
      </c>
      <c r="BU316" s="88" t="s">
        <v>340</v>
      </c>
      <c r="CA316" s="88" t="s">
        <v>340</v>
      </c>
    </row>
    <row r="317" spans="1:95" x14ac:dyDescent="0.25">
      <c r="A317" s="88" t="s">
        <v>77</v>
      </c>
      <c r="B317" s="47"/>
      <c r="C317" s="47"/>
      <c r="D317" s="47"/>
      <c r="E317" s="47"/>
      <c r="F317" s="46"/>
      <c r="G317" s="88" t="s">
        <v>77</v>
      </c>
      <c r="H317" s="47"/>
      <c r="I317" s="47"/>
      <c r="J317" s="47"/>
      <c r="K317" s="47"/>
      <c r="L317" s="46"/>
      <c r="M317" s="88" t="s">
        <v>77</v>
      </c>
      <c r="N317" s="47"/>
      <c r="O317" s="47"/>
      <c r="P317" s="47"/>
      <c r="Q317" s="46"/>
      <c r="V317" s="43"/>
      <c r="W317" s="43"/>
      <c r="X317" s="101"/>
      <c r="Y317" s="134" t="s">
        <v>77</v>
      </c>
      <c r="AE317" s="134" t="s">
        <v>77</v>
      </c>
      <c r="AF317" s="43"/>
      <c r="AK317" s="88" t="s">
        <v>77</v>
      </c>
      <c r="AW317" s="88" t="s">
        <v>77</v>
      </c>
      <c r="BC317" s="88" t="s">
        <v>77</v>
      </c>
      <c r="BU317" s="88" t="s">
        <v>77</v>
      </c>
      <c r="CA317" s="88" t="s">
        <v>77</v>
      </c>
    </row>
    <row r="318" spans="1:95" x14ac:dyDescent="0.25">
      <c r="A318" s="88" t="s">
        <v>78</v>
      </c>
      <c r="B318" s="47">
        <v>1</v>
      </c>
      <c r="C318" s="47">
        <f>B318*'analisi dei carichi'!E37</f>
        <v>2.9550000000000001</v>
      </c>
      <c r="D318" s="47">
        <f>B318*'analisi dei carichi'!H37</f>
        <v>3.8415000000000004</v>
      </c>
      <c r="E318" s="47">
        <f>B318*'analisi dei carichi'!K37</f>
        <v>3.8415000000000004</v>
      </c>
      <c r="F318" s="46">
        <f>B318*'analisi dei carichi'!N37</f>
        <v>2.9550000000000001</v>
      </c>
      <c r="G318" s="88" t="s">
        <v>78</v>
      </c>
      <c r="H318" s="47">
        <f>B318</f>
        <v>1</v>
      </c>
      <c r="I318" s="47">
        <f>C318</f>
        <v>2.9550000000000001</v>
      </c>
      <c r="J318" s="47">
        <f>D318</f>
        <v>3.8415000000000004</v>
      </c>
      <c r="K318" s="47">
        <f>E318</f>
        <v>3.8415000000000004</v>
      </c>
      <c r="L318" s="46">
        <f>F318</f>
        <v>2.9550000000000001</v>
      </c>
      <c r="M318" s="88" t="s">
        <v>78</v>
      </c>
      <c r="N318" s="47"/>
      <c r="O318" s="47"/>
      <c r="P318" s="47"/>
      <c r="Q318" s="46"/>
      <c r="V318" s="43"/>
      <c r="W318" s="43"/>
      <c r="X318" s="101"/>
      <c r="Y318" s="134" t="s">
        <v>78</v>
      </c>
      <c r="Z318" s="43">
        <f>B318</f>
        <v>1</v>
      </c>
      <c r="AA318" s="74">
        <f>C318</f>
        <v>2.9550000000000001</v>
      </c>
      <c r="AB318" s="43">
        <f>D318</f>
        <v>3.8415000000000004</v>
      </c>
      <c r="AC318" s="74">
        <f>E318</f>
        <v>3.8415000000000004</v>
      </c>
      <c r="AD318" s="43">
        <f>F318</f>
        <v>2.9550000000000001</v>
      </c>
      <c r="AE318" s="134" t="s">
        <v>78</v>
      </c>
      <c r="AF318" s="43">
        <f>H318</f>
        <v>1</v>
      </c>
      <c r="AG318" s="43">
        <f>I318</f>
        <v>2.9550000000000001</v>
      </c>
      <c r="AH318" s="43">
        <f>J318</f>
        <v>3.8415000000000004</v>
      </c>
      <c r="AI318" s="43">
        <f>K318</f>
        <v>3.8415000000000004</v>
      </c>
      <c r="AJ318" s="43">
        <f>L318</f>
        <v>2.9550000000000001</v>
      </c>
      <c r="AK318" s="88" t="s">
        <v>78</v>
      </c>
      <c r="AW318" s="88" t="s">
        <v>78</v>
      </c>
      <c r="AX318" s="43">
        <f>Z318</f>
        <v>1</v>
      </c>
      <c r="AY318" s="43">
        <f>AX318*'analisi dei carichi'!E30</f>
        <v>3.7050000000000001</v>
      </c>
      <c r="AZ318" s="43">
        <f>AX318*'analisi dei carichi'!H30</f>
        <v>4.8165000000000004</v>
      </c>
      <c r="BA318" s="43">
        <f>AX318*'analisi dei carichi'!K30</f>
        <v>4.8165000000000004</v>
      </c>
      <c r="BB318" s="43">
        <f>AX318*'analisi dei carichi'!N30</f>
        <v>3.7050000000000001</v>
      </c>
      <c r="BC318" s="88" t="s">
        <v>78</v>
      </c>
      <c r="BD318" s="43">
        <f>AX318</f>
        <v>1</v>
      </c>
      <c r="BE318" s="43">
        <f>AY318</f>
        <v>3.7050000000000001</v>
      </c>
      <c r="BF318" s="43">
        <f>AZ318</f>
        <v>4.8165000000000004</v>
      </c>
      <c r="BG318" s="43">
        <f>BA318</f>
        <v>4.8165000000000004</v>
      </c>
      <c r="BH318" s="43">
        <f>BB318</f>
        <v>3.7050000000000001</v>
      </c>
      <c r="BU318" s="88" t="s">
        <v>78</v>
      </c>
      <c r="BV318" s="43">
        <f>AX318</f>
        <v>1</v>
      </c>
      <c r="BW318" s="43">
        <f>AY318</f>
        <v>3.7050000000000001</v>
      </c>
      <c r="BX318" s="43">
        <f>AZ318</f>
        <v>4.8165000000000004</v>
      </c>
      <c r="BY318" s="43">
        <f>BA318</f>
        <v>4.8165000000000004</v>
      </c>
      <c r="BZ318" s="43">
        <f>BB318</f>
        <v>3.7050000000000001</v>
      </c>
      <c r="CA318" s="88" t="s">
        <v>78</v>
      </c>
      <c r="CB318" s="43">
        <f>BD318</f>
        <v>1</v>
      </c>
      <c r="CC318" s="43">
        <f>BE318</f>
        <v>3.7050000000000001</v>
      </c>
      <c r="CD318" s="43">
        <f>BF318</f>
        <v>4.8165000000000004</v>
      </c>
      <c r="CE318" s="43">
        <f>BG318</f>
        <v>4.8165000000000004</v>
      </c>
      <c r="CF318" s="43">
        <f>BH318</f>
        <v>3.7050000000000001</v>
      </c>
    </row>
    <row r="319" spans="1:95" x14ac:dyDescent="0.25">
      <c r="A319" s="88" t="s">
        <v>79</v>
      </c>
      <c r="B319" s="47"/>
      <c r="C319" s="47"/>
      <c r="D319" s="47"/>
      <c r="E319" s="47"/>
      <c r="F319" s="46"/>
      <c r="G319" s="88" t="s">
        <v>79</v>
      </c>
      <c r="H319" s="47"/>
      <c r="I319" s="47"/>
      <c r="J319" s="47"/>
      <c r="K319" s="47"/>
      <c r="L319" s="46"/>
      <c r="M319" s="88" t="s">
        <v>79</v>
      </c>
      <c r="N319" s="47"/>
      <c r="O319" s="47"/>
      <c r="P319" s="47"/>
      <c r="Q319" s="46"/>
      <c r="V319" s="43"/>
      <c r="W319" s="43"/>
      <c r="X319" s="101"/>
      <c r="Y319" s="134" t="s">
        <v>79</v>
      </c>
      <c r="AE319" s="134" t="s">
        <v>79</v>
      </c>
      <c r="AF319" s="43"/>
      <c r="AK319" s="88" t="s">
        <v>79</v>
      </c>
      <c r="AW319" s="88" t="s">
        <v>79</v>
      </c>
      <c r="BC319" s="88" t="s">
        <v>79</v>
      </c>
      <c r="BU319" s="88" t="s">
        <v>79</v>
      </c>
      <c r="CA319" s="88" t="s">
        <v>79</v>
      </c>
    </row>
    <row r="320" spans="1:95" x14ac:dyDescent="0.25">
      <c r="A320" s="88" t="s">
        <v>80</v>
      </c>
      <c r="B320" s="48"/>
      <c r="C320" s="48"/>
      <c r="D320" s="48"/>
      <c r="E320" s="48"/>
      <c r="F320" s="49"/>
      <c r="G320" s="88" t="s">
        <v>80</v>
      </c>
      <c r="H320" s="48"/>
      <c r="I320" s="48"/>
      <c r="J320" s="48"/>
      <c r="K320" s="48"/>
      <c r="L320" s="49"/>
      <c r="M320" s="88" t="s">
        <v>80</v>
      </c>
      <c r="N320" s="48"/>
      <c r="O320" s="48"/>
      <c r="P320" s="48"/>
      <c r="Q320" s="49"/>
      <c r="V320" s="43"/>
      <c r="W320" s="43"/>
      <c r="X320" s="101"/>
      <c r="Y320" s="134" t="s">
        <v>80</v>
      </c>
      <c r="Z320" s="91">
        <v>1</v>
      </c>
      <c r="AA320" s="134">
        <f>Z320*'analisi dei carichi'!E29</f>
        <v>5.7200000000000006</v>
      </c>
      <c r="AB320" s="91">
        <f>Z320*'analisi dei carichi'!H29</f>
        <v>7.4360000000000008</v>
      </c>
      <c r="AC320" s="134">
        <f>Z320*'analisi dei carichi'!K29</f>
        <v>7.4360000000000008</v>
      </c>
      <c r="AD320" s="91">
        <f>Z320*'analisi dei carichi'!N29</f>
        <v>5.7200000000000006</v>
      </c>
      <c r="AE320" s="134" t="s">
        <v>80</v>
      </c>
      <c r="AF320" s="43"/>
      <c r="AK320" s="88" t="s">
        <v>80</v>
      </c>
      <c r="AL320" s="91">
        <f>AL286</f>
        <v>2.15</v>
      </c>
      <c r="AM320" s="91">
        <f t="shared" ref="AM320:AP321" si="176">AM286</f>
        <v>12.298</v>
      </c>
      <c r="AN320" s="91">
        <f t="shared" si="176"/>
        <v>15.987400000000001</v>
      </c>
      <c r="AO320" s="91">
        <f t="shared" si="176"/>
        <v>15.987400000000001</v>
      </c>
      <c r="AP320" s="91">
        <f t="shared" si="176"/>
        <v>12.298</v>
      </c>
      <c r="AW320" s="88" t="s">
        <v>80</v>
      </c>
      <c r="AX320" s="43">
        <f>Z320</f>
        <v>1</v>
      </c>
      <c r="AY320" s="43">
        <f>AA320</f>
        <v>5.7200000000000006</v>
      </c>
      <c r="AZ320" s="43">
        <f>AB320</f>
        <v>7.4360000000000008</v>
      </c>
      <c r="BA320" s="43">
        <f>AC320</f>
        <v>7.4360000000000008</v>
      </c>
      <c r="BB320" s="43">
        <f>AD320</f>
        <v>5.7200000000000006</v>
      </c>
      <c r="BC320" s="88" t="s">
        <v>80</v>
      </c>
      <c r="BI320" s="43" t="str">
        <f t="shared" ref="BI320:BN320" si="177">AK320</f>
        <v>tamponatura</v>
      </c>
      <c r="BJ320" s="43">
        <f t="shared" si="177"/>
        <v>2.15</v>
      </c>
      <c r="BK320" s="43">
        <f t="shared" si="177"/>
        <v>12.298</v>
      </c>
      <c r="BL320" s="43">
        <f t="shared" si="177"/>
        <v>15.987400000000001</v>
      </c>
      <c r="BM320" s="43">
        <f t="shared" si="177"/>
        <v>15.987400000000001</v>
      </c>
      <c r="BN320" s="43">
        <f t="shared" si="177"/>
        <v>12.298</v>
      </c>
      <c r="BU320" s="88" t="s">
        <v>80</v>
      </c>
      <c r="BV320" s="43">
        <f>AX320</f>
        <v>1</v>
      </c>
      <c r="BW320" s="43">
        <f>AY320</f>
        <v>5.7200000000000006</v>
      </c>
      <c r="BX320" s="43">
        <f>AZ320</f>
        <v>7.4360000000000008</v>
      </c>
      <c r="BY320" s="43">
        <f>BA320</f>
        <v>7.4360000000000008</v>
      </c>
      <c r="BZ320" s="43">
        <f>BB320</f>
        <v>5.7200000000000006</v>
      </c>
      <c r="CA320" s="88" t="s">
        <v>80</v>
      </c>
      <c r="CH320" s="43">
        <f>BJ320</f>
        <v>2.15</v>
      </c>
      <c r="CI320" s="43">
        <f>BK320</f>
        <v>12.298</v>
      </c>
      <c r="CJ320" s="43">
        <f>BL320</f>
        <v>15.987400000000001</v>
      </c>
      <c r="CK320" s="43">
        <f>BM320</f>
        <v>15.987400000000001</v>
      </c>
      <c r="CL320" s="43">
        <f>BN320</f>
        <v>12.298</v>
      </c>
    </row>
    <row r="321" spans="1:95" x14ac:dyDescent="0.25">
      <c r="A321" s="88" t="s">
        <v>55</v>
      </c>
      <c r="C321" s="43">
        <f>SUM(C315:C320)</f>
        <v>14.756399999999996</v>
      </c>
      <c r="D321" s="43">
        <f>SUM(D315:D320)</f>
        <v>19.183319999999998</v>
      </c>
      <c r="E321" s="43">
        <f>SUM(E315:E320)</f>
        <v>26.578319999999998</v>
      </c>
      <c r="F321" s="43">
        <f>SUM(F315:F320)</f>
        <v>16.160399999999996</v>
      </c>
      <c r="G321" s="88" t="s">
        <v>55</v>
      </c>
      <c r="I321" s="43">
        <f>SUM(I315:I320)</f>
        <v>22.110499999999995</v>
      </c>
      <c r="J321" s="43">
        <f>SUM(J315:J320)</f>
        <v>28.743649999999995</v>
      </c>
      <c r="K321" s="43">
        <f>SUM(K315:K320)</f>
        <v>42.393649999999994</v>
      </c>
      <c r="L321" s="43">
        <f>SUM(L315:L320)</f>
        <v>24.840499999999992</v>
      </c>
      <c r="M321" s="88" t="s">
        <v>55</v>
      </c>
      <c r="V321" s="43"/>
      <c r="W321" s="43"/>
      <c r="X321" s="101"/>
      <c r="Y321" s="134" t="s">
        <v>55</v>
      </c>
      <c r="AA321" s="134">
        <f>SUM(AA315:AA320)</f>
        <v>30.043203999999996</v>
      </c>
      <c r="AB321" s="91">
        <f>SUM(AB315:AB320)</f>
        <v>39.617765199999994</v>
      </c>
      <c r="AC321" s="134">
        <f>SUM(AC315:AC320)</f>
        <v>59.897765200000002</v>
      </c>
      <c r="AD321" s="91">
        <f>SUM(AD315:AD320)</f>
        <v>36.751203999999994</v>
      </c>
      <c r="AE321" s="134" t="s">
        <v>55</v>
      </c>
      <c r="AG321" s="91">
        <f>SUM(AG315:AG320)</f>
        <v>26.412979999999997</v>
      </c>
      <c r="AH321" s="91">
        <f>SUM(AH315:AH320)</f>
        <v>35.428874</v>
      </c>
      <c r="AI321" s="91">
        <f>SUM(AI315:AI320)</f>
        <v>49.078874000000006</v>
      </c>
      <c r="AJ321" s="91">
        <f>SUM(AJ315:AJ320)</f>
        <v>29.142979999999994</v>
      </c>
      <c r="AK321" s="88" t="s">
        <v>55</v>
      </c>
      <c r="AM321" s="91">
        <f t="shared" si="176"/>
        <v>12.298</v>
      </c>
      <c r="AN321" s="91">
        <f t="shared" si="176"/>
        <v>15.987400000000001</v>
      </c>
      <c r="AO321" s="91">
        <f t="shared" si="176"/>
        <v>15.987400000000001</v>
      </c>
      <c r="AP321" s="91">
        <f t="shared" si="176"/>
        <v>12.298</v>
      </c>
      <c r="AW321" s="88" t="s">
        <v>55</v>
      </c>
      <c r="AY321" s="43">
        <f>SUM(AY315:AY320)</f>
        <v>30.793203999999996</v>
      </c>
      <c r="AZ321" s="43">
        <f>SUM(AZ315:AZ320)</f>
        <v>40.592765199999995</v>
      </c>
      <c r="BA321" s="43">
        <f>SUM(BA315:BA320)</f>
        <v>60.872765199999996</v>
      </c>
      <c r="BB321" s="43">
        <f>SUM(BB315:BB320)</f>
        <v>37.501203999999994</v>
      </c>
      <c r="BC321" s="88" t="s">
        <v>55</v>
      </c>
      <c r="BE321" s="43">
        <f>SUM(BE315:BE320)</f>
        <v>27.162979999999997</v>
      </c>
      <c r="BF321" s="43">
        <f>SUM(BF315:BF320)</f>
        <v>36.403873999999995</v>
      </c>
      <c r="BG321" s="43">
        <f>SUM(BG315:BG320)</f>
        <v>50.053874</v>
      </c>
      <c r="BH321" s="43">
        <f>SUM(BH315:BH320)</f>
        <v>29.892979999999994</v>
      </c>
      <c r="BK321" s="43">
        <f>SUM(BK315:BK320)</f>
        <v>12.298</v>
      </c>
      <c r="BL321" s="43">
        <f>SUM(BL315:BL320)</f>
        <v>15.987400000000001</v>
      </c>
      <c r="BM321" s="43">
        <f>SUM(BM315:BM320)</f>
        <v>15.987400000000001</v>
      </c>
      <c r="BN321" s="43">
        <f>SUM(BN315:BN320)</f>
        <v>12.298</v>
      </c>
      <c r="BU321" s="88" t="s">
        <v>55</v>
      </c>
      <c r="BW321" s="43">
        <f>SUM(BW315:BW320)</f>
        <v>21.489103999999998</v>
      </c>
      <c r="BX321" s="43">
        <f>SUM(BX315:BX320)</f>
        <v>28.497435199999998</v>
      </c>
      <c r="BY321" s="43">
        <f>SUM(BY315:BY320)</f>
        <v>35.517435200000001</v>
      </c>
      <c r="BZ321" s="43">
        <f>SUM(BZ315:BZ320)</f>
        <v>22.893104000000001</v>
      </c>
      <c r="CA321" s="88" t="s">
        <v>55</v>
      </c>
      <c r="CC321" s="43">
        <f>SUM(CC315:CC320)</f>
        <v>27.162979999999997</v>
      </c>
      <c r="CD321" s="43">
        <f>SUM(CD315:CD320)</f>
        <v>36.403873999999995</v>
      </c>
      <c r="CE321" s="43">
        <f>SUM(CE315:CE320)</f>
        <v>50.053874</v>
      </c>
      <c r="CF321" s="43">
        <f>SUM(CF315:CF320)</f>
        <v>29.892979999999994</v>
      </c>
      <c r="CI321" s="43">
        <f>BK321</f>
        <v>12.298</v>
      </c>
      <c r="CJ321" s="43">
        <f>BL321</f>
        <v>15.987400000000001</v>
      </c>
      <c r="CK321" s="43">
        <f>BM321</f>
        <v>15.987400000000001</v>
      </c>
      <c r="CL321" s="43">
        <f>BN321</f>
        <v>12.298</v>
      </c>
    </row>
    <row r="322" spans="1:95" x14ac:dyDescent="0.25">
      <c r="C322" s="43">
        <f>C321*$D$313</f>
        <v>30.988439999999994</v>
      </c>
      <c r="D322" s="43">
        <f>D321*$D$313</f>
        <v>40.284971999999996</v>
      </c>
      <c r="E322" s="43">
        <f>E321*$D$313</f>
        <v>55.814471999999995</v>
      </c>
      <c r="F322" s="43">
        <f>F321*$D$313</f>
        <v>33.936839999999989</v>
      </c>
      <c r="I322" s="43">
        <f>I321*$K$313</f>
        <v>28.743649999999995</v>
      </c>
      <c r="J322" s="43">
        <f>J321*$K$313</f>
        <v>37.366744999999995</v>
      </c>
      <c r="K322" s="43">
        <f>K321*$K$313</f>
        <v>55.111744999999992</v>
      </c>
      <c r="L322" s="43">
        <f>L321*$K$313</f>
        <v>32.292649999999988</v>
      </c>
      <c r="V322" s="43"/>
      <c r="W322" s="43"/>
      <c r="X322" s="101"/>
      <c r="AA322" s="134">
        <f>AA321*$AA$313</f>
        <v>63.090728399999996</v>
      </c>
      <c r="AB322" s="91">
        <f>AB321*$AA$313</f>
        <v>83.197306919999988</v>
      </c>
      <c r="AC322" s="134">
        <f>AC321*$AA$313</f>
        <v>125.78530692000001</v>
      </c>
      <c r="AD322" s="91">
        <f>AD321*$AA$313</f>
        <v>77.177528399999986</v>
      </c>
      <c r="AG322" s="91">
        <f>AG321*$AH$313</f>
        <v>34.336873999999995</v>
      </c>
      <c r="AH322" s="91">
        <f>AH321*$AH$313</f>
        <v>46.057536200000001</v>
      </c>
      <c r="AI322" s="91">
        <f>AI321*$AH$313</f>
        <v>63.802536200000013</v>
      </c>
      <c r="AJ322" s="91">
        <f>AJ321*$AH$313</f>
        <v>37.885873999999994</v>
      </c>
      <c r="AY322" s="43">
        <f>AY321*$AZ$313</f>
        <v>64.665728399999992</v>
      </c>
      <c r="AZ322" s="43">
        <f>AZ321*$AZ$313</f>
        <v>85.244806919999988</v>
      </c>
      <c r="BA322" s="43">
        <f>BA321*$AZ$313</f>
        <v>127.83280692</v>
      </c>
      <c r="BB322" s="43">
        <f>BB321*$AZ$313</f>
        <v>78.752528399999989</v>
      </c>
      <c r="BE322" s="43">
        <f>BE321*$BG$313</f>
        <v>35.311873999999996</v>
      </c>
      <c r="BF322" s="43">
        <f>BF321*$BG$313</f>
        <v>47.325036199999992</v>
      </c>
      <c r="BG322" s="43">
        <f>BG321*$BG$313</f>
        <v>65.070036200000004</v>
      </c>
      <c r="BH322" s="43">
        <f>BH321*$BG$313</f>
        <v>38.860873999999995</v>
      </c>
      <c r="BW322" s="43">
        <f>BW321*$BX$313</f>
        <v>45.127118399999993</v>
      </c>
      <c r="BX322" s="43">
        <f>BX321*$BX$313</f>
        <v>59.84461392</v>
      </c>
      <c r="BY322" s="43">
        <f>BY321*$BX$313</f>
        <v>74.586613920000005</v>
      </c>
      <c r="BZ322" s="43">
        <f>BZ321*$BX$313</f>
        <v>48.075518400000007</v>
      </c>
      <c r="CC322" s="43">
        <f>CC321*$CE$313</f>
        <v>35.311873999999996</v>
      </c>
      <c r="CD322" s="43">
        <f>CD321*$CE$313</f>
        <v>47.325036199999992</v>
      </c>
      <c r="CE322" s="43">
        <f>CE321*$CE$313</f>
        <v>65.070036200000004</v>
      </c>
      <c r="CF322" s="43">
        <f>CF321*$CE$313</f>
        <v>38.860873999999995</v>
      </c>
    </row>
    <row r="323" spans="1:95" x14ac:dyDescent="0.25">
      <c r="B323" s="57" t="s">
        <v>76</v>
      </c>
      <c r="C323" s="43" t="s">
        <v>93</v>
      </c>
      <c r="H323" s="43" t="s">
        <v>93</v>
      </c>
      <c r="L323" s="43" t="s">
        <v>93</v>
      </c>
      <c r="Q323" s="43" t="s">
        <v>93</v>
      </c>
    </row>
    <row r="324" spans="1:95" x14ac:dyDescent="0.25">
      <c r="B324" s="50" t="s">
        <v>147</v>
      </c>
      <c r="C324" s="44">
        <v>6</v>
      </c>
      <c r="H324" s="43" t="s">
        <v>95</v>
      </c>
      <c r="L324" s="43" t="s">
        <v>96</v>
      </c>
      <c r="Q324" s="44">
        <v>1</v>
      </c>
    </row>
    <row r="325" spans="1:95" x14ac:dyDescent="0.25">
      <c r="B325" s="47" t="s">
        <v>51</v>
      </c>
      <c r="C325" s="47" t="s">
        <v>37</v>
      </c>
      <c r="D325" s="47" t="s">
        <v>39</v>
      </c>
      <c r="E325" s="47" t="s">
        <v>92</v>
      </c>
      <c r="F325" s="58" t="s">
        <v>91</v>
      </c>
      <c r="G325" s="47" t="s">
        <v>51</v>
      </c>
      <c r="H325" s="47" t="s">
        <v>37</v>
      </c>
      <c r="I325" s="47" t="s">
        <v>39</v>
      </c>
      <c r="J325" s="47" t="s">
        <v>92</v>
      </c>
      <c r="K325" s="58" t="s">
        <v>91</v>
      </c>
      <c r="L325" s="47" t="s">
        <v>51</v>
      </c>
      <c r="M325" s="47" t="s">
        <v>37</v>
      </c>
      <c r="N325" s="47" t="s">
        <v>39</v>
      </c>
      <c r="O325" s="47" t="s">
        <v>92</v>
      </c>
      <c r="P325" s="58" t="s">
        <v>91</v>
      </c>
      <c r="Q325" s="47" t="s">
        <v>51</v>
      </c>
      <c r="R325" s="47" t="s">
        <v>37</v>
      </c>
      <c r="S325" s="47" t="s">
        <v>39</v>
      </c>
      <c r="T325" s="47" t="s">
        <v>92</v>
      </c>
      <c r="U325" s="58" t="s">
        <v>91</v>
      </c>
    </row>
    <row r="326" spans="1:95" x14ac:dyDescent="0.25">
      <c r="A326" s="91" t="s">
        <v>56</v>
      </c>
      <c r="B326" s="43">
        <f>(4.42/2)+1.2*(4.68/2)</f>
        <v>5.0179999999999998</v>
      </c>
      <c r="C326" s="43">
        <f>B326*'analisi dei carichi'!E35</f>
        <v>21.125779999999995</v>
      </c>
      <c r="D326" s="43">
        <f>B326*'analisi dei carichi'!H35</f>
        <v>27.463513999999993</v>
      </c>
      <c r="E326" s="43">
        <f>B326*'analisi dei carichi'!K35</f>
        <v>42.517513999999991</v>
      </c>
      <c r="F326" s="46">
        <f>B326*'analisi dei carichi'!N35</f>
        <v>24.136579999999991</v>
      </c>
      <c r="G326" s="43">
        <f>B326</f>
        <v>5.0179999999999998</v>
      </c>
      <c r="H326" s="43">
        <f>G326*'analisi dei carichi'!O28</f>
        <v>25.870800799999998</v>
      </c>
      <c r="I326" s="43">
        <f>G326*'analisi dei carichi'!P28</f>
        <v>34.836361039999993</v>
      </c>
      <c r="J326" s="43">
        <f>G326*'analisi dei carichi'!K28</f>
        <v>49.890361040000002</v>
      </c>
      <c r="K326" s="46">
        <f>'analisi dei carichi'!N28*travi!G326</f>
        <v>28.881600799999994</v>
      </c>
      <c r="L326" s="43">
        <f>G326</f>
        <v>5.0179999999999998</v>
      </c>
      <c r="M326" s="43">
        <f t="shared" ref="M326:T326" si="178">H326</f>
        <v>25.870800799999998</v>
      </c>
      <c r="N326" s="43">
        <f t="shared" si="178"/>
        <v>34.836361039999993</v>
      </c>
      <c r="O326" s="43">
        <f t="shared" si="178"/>
        <v>49.890361040000002</v>
      </c>
      <c r="P326" s="43">
        <f t="shared" si="178"/>
        <v>28.881600799999994</v>
      </c>
      <c r="Q326" s="43">
        <f t="shared" si="178"/>
        <v>5.0179999999999998</v>
      </c>
      <c r="R326" s="43">
        <f t="shared" si="178"/>
        <v>25.870800799999998</v>
      </c>
      <c r="S326" s="43">
        <f t="shared" si="178"/>
        <v>34.836361039999993</v>
      </c>
      <c r="T326" s="43">
        <f t="shared" si="178"/>
        <v>49.890361040000002</v>
      </c>
      <c r="U326" s="43">
        <f>P326</f>
        <v>28.881600799999994</v>
      </c>
    </row>
    <row r="327" spans="1:95" x14ac:dyDescent="0.25">
      <c r="A327" s="88" t="s">
        <v>340</v>
      </c>
      <c r="F327" s="46"/>
      <c r="K327" s="46"/>
      <c r="P327" s="46"/>
      <c r="U327" s="46"/>
    </row>
    <row r="328" spans="1:95" x14ac:dyDescent="0.25">
      <c r="A328" s="91" t="s">
        <v>77</v>
      </c>
      <c r="F328" s="46"/>
      <c r="K328" s="46"/>
      <c r="P328" s="46"/>
      <c r="U328" s="46"/>
    </row>
    <row r="329" spans="1:95" x14ac:dyDescent="0.25">
      <c r="A329" s="91" t="s">
        <v>78</v>
      </c>
      <c r="B329" s="43">
        <v>1</v>
      </c>
      <c r="C329" s="43">
        <f>B329*'analisi dei carichi'!E37</f>
        <v>2.9550000000000001</v>
      </c>
      <c r="D329" s="43">
        <f>B329*'analisi dei carichi'!H37</f>
        <v>3.8415000000000004</v>
      </c>
      <c r="E329" s="43">
        <f>B329*'analisi dei carichi'!K37</f>
        <v>3.8415000000000004</v>
      </c>
      <c r="F329" s="46">
        <f>B329*'analisi dei carichi'!N37</f>
        <v>2.9550000000000001</v>
      </c>
      <c r="G329" s="43">
        <f>B329</f>
        <v>1</v>
      </c>
      <c r="H329" s="43">
        <f>C329</f>
        <v>2.9550000000000001</v>
      </c>
      <c r="I329" s="43">
        <f>D329</f>
        <v>3.8415000000000004</v>
      </c>
      <c r="J329" s="43">
        <f>E329</f>
        <v>3.8415000000000004</v>
      </c>
      <c r="K329" s="43">
        <f>F329</f>
        <v>2.9550000000000001</v>
      </c>
      <c r="L329" s="43">
        <v>1</v>
      </c>
      <c r="M329" s="43">
        <f>L329*'analisi dei carichi'!E30</f>
        <v>3.7050000000000001</v>
      </c>
      <c r="N329" s="43">
        <f>L329*'analisi dei carichi'!H30</f>
        <v>4.8165000000000004</v>
      </c>
      <c r="O329" s="43">
        <f>L329*'analisi dei carichi'!K30</f>
        <v>4.8165000000000004</v>
      </c>
      <c r="P329" s="46">
        <f>L329*'analisi dei carichi'!N30</f>
        <v>3.7050000000000001</v>
      </c>
      <c r="Q329" s="43">
        <f>L329</f>
        <v>1</v>
      </c>
      <c r="R329" s="43">
        <f>M329</f>
        <v>3.7050000000000001</v>
      </c>
      <c r="S329" s="43">
        <f>N329</f>
        <v>4.8165000000000004</v>
      </c>
      <c r="T329" s="43">
        <f>O329</f>
        <v>4.8165000000000004</v>
      </c>
      <c r="U329" s="43">
        <f>P329</f>
        <v>3.7050000000000001</v>
      </c>
    </row>
    <row r="330" spans="1:95" x14ac:dyDescent="0.25">
      <c r="A330" s="91" t="s">
        <v>79</v>
      </c>
      <c r="F330" s="46"/>
      <c r="K330" s="46"/>
      <c r="P330" s="46"/>
      <c r="U330" s="46"/>
    </row>
    <row r="331" spans="1:95" x14ac:dyDescent="0.25">
      <c r="A331" s="91" t="s">
        <v>80</v>
      </c>
      <c r="B331" s="48"/>
      <c r="C331" s="48"/>
      <c r="D331" s="48"/>
      <c r="E331" s="48"/>
      <c r="F331" s="49"/>
      <c r="G331" s="48"/>
      <c r="H331" s="48"/>
      <c r="I331" s="48"/>
      <c r="J331" s="48"/>
      <c r="K331" s="49"/>
      <c r="L331" s="48"/>
      <c r="M331" s="48"/>
      <c r="N331" s="48"/>
      <c r="O331" s="48"/>
      <c r="P331" s="49"/>
      <c r="Q331" s="48"/>
      <c r="R331" s="48"/>
      <c r="S331" s="48"/>
      <c r="T331" s="48"/>
      <c r="U331" s="49"/>
    </row>
    <row r="332" spans="1:95" x14ac:dyDescent="0.25">
      <c r="A332" s="91" t="s">
        <v>55</v>
      </c>
      <c r="C332" s="43">
        <f>SUM(C326:C331)</f>
        <v>24.080779999999997</v>
      </c>
      <c r="D332" s="43">
        <f>SUM(D326:D331)</f>
        <v>31.305013999999993</v>
      </c>
      <c r="E332" s="43">
        <f>SUM(E326:E331)</f>
        <v>46.359013999999995</v>
      </c>
      <c r="F332" s="43">
        <f>SUM(F326:F331)</f>
        <v>27.091579999999993</v>
      </c>
      <c r="H332" s="43">
        <f>SUM(H326:H331)</f>
        <v>28.825800799999996</v>
      </c>
      <c r="I332" s="43">
        <f>SUM(I326:I331)</f>
        <v>38.677861039999996</v>
      </c>
      <c r="J332" s="43">
        <f>SUM(J326:J331)</f>
        <v>53.731861040000005</v>
      </c>
      <c r="K332" s="43">
        <f>SUM(K326:K331)</f>
        <v>31.836600799999992</v>
      </c>
      <c r="M332" s="43">
        <f>SUM(M326:M331)</f>
        <v>29.575800799999996</v>
      </c>
      <c r="N332" s="43">
        <f>SUM(N326:N331)</f>
        <v>39.652861039999991</v>
      </c>
      <c r="O332" s="43">
        <f>SUM(O326:O331)</f>
        <v>54.70686104</v>
      </c>
      <c r="P332" s="43">
        <f>SUM(P326:P331)</f>
        <v>32.586600799999992</v>
      </c>
      <c r="R332" s="43">
        <f>SUM(R326:R331)</f>
        <v>29.575800799999996</v>
      </c>
      <c r="S332" s="43">
        <f>SUM(S326:S331)</f>
        <v>39.652861039999991</v>
      </c>
      <c r="T332" s="43">
        <f>SUM(T326:T331)</f>
        <v>54.70686104</v>
      </c>
      <c r="U332" s="43">
        <f>SUM(U326:U331)</f>
        <v>32.586600799999992</v>
      </c>
    </row>
    <row r="334" spans="1:95" x14ac:dyDescent="0.25">
      <c r="A334" s="88"/>
      <c r="B334" s="64" t="s">
        <v>254</v>
      </c>
      <c r="D334" s="43" t="s">
        <v>249</v>
      </c>
      <c r="K334" s="43" t="s">
        <v>250</v>
      </c>
      <c r="P334" s="43" t="s">
        <v>251</v>
      </c>
      <c r="V334" s="43" t="s">
        <v>252</v>
      </c>
      <c r="Z334" s="88"/>
      <c r="AA334" s="138" t="s">
        <v>254</v>
      </c>
      <c r="AB334" s="43"/>
      <c r="AC334" s="74" t="s">
        <v>249</v>
      </c>
      <c r="AD334" s="43"/>
      <c r="AE334" s="74"/>
      <c r="AF334" s="43"/>
      <c r="AG334" s="43"/>
      <c r="AH334" s="43"/>
      <c r="AI334" s="43" t="s">
        <v>250</v>
      </c>
      <c r="AJ334" s="43"/>
      <c r="AK334" s="43"/>
      <c r="AM334" s="43"/>
      <c r="AN334" s="43" t="s">
        <v>251</v>
      </c>
      <c r="AO334" s="43"/>
      <c r="AP334" s="43"/>
      <c r="AQ334" s="43"/>
      <c r="AR334" s="43"/>
      <c r="AS334" s="43"/>
      <c r="AT334" s="43" t="s">
        <v>252</v>
      </c>
      <c r="AW334" s="91"/>
      <c r="AX334" s="65"/>
      <c r="AY334" s="64" t="s">
        <v>254</v>
      </c>
      <c r="BA334" s="43" t="s">
        <v>249</v>
      </c>
      <c r="BG334" s="43" t="s">
        <v>250</v>
      </c>
      <c r="BM334" s="43" t="s">
        <v>251</v>
      </c>
      <c r="BR334" s="43" t="s">
        <v>252</v>
      </c>
      <c r="BV334" s="65"/>
      <c r="BW334" s="64" t="s">
        <v>254</v>
      </c>
      <c r="BY334" s="43" t="s">
        <v>249</v>
      </c>
      <c r="CE334" s="43" t="s">
        <v>250</v>
      </c>
      <c r="CJ334" s="43" t="s">
        <v>251</v>
      </c>
      <c r="CP334" s="43" t="s">
        <v>252</v>
      </c>
    </row>
    <row r="335" spans="1:95" x14ac:dyDescent="0.25">
      <c r="A335" s="67">
        <v>6</v>
      </c>
      <c r="B335" s="66" t="s">
        <v>148</v>
      </c>
      <c r="C335" s="43" t="s">
        <v>51</v>
      </c>
      <c r="D335" s="65">
        <v>2.4300000000000002</v>
      </c>
      <c r="E335" s="65"/>
      <c r="F335" s="65"/>
      <c r="G335" s="91"/>
      <c r="H335" s="91"/>
      <c r="I335" s="91"/>
      <c r="J335" s="43" t="s">
        <v>51</v>
      </c>
      <c r="K335" s="91">
        <v>2.09</v>
      </c>
      <c r="L335" s="91"/>
      <c r="M335" s="91"/>
      <c r="N335" s="91"/>
      <c r="O335" s="91"/>
      <c r="P335" s="91"/>
      <c r="Q335" s="91"/>
      <c r="R335" s="91"/>
      <c r="S335" s="91"/>
      <c r="T335" s="91"/>
      <c r="U335" s="91"/>
      <c r="AA335" s="74" t="s">
        <v>51</v>
      </c>
      <c r="AB335" s="65">
        <v>2.4300000000000002</v>
      </c>
      <c r="AC335" s="74"/>
      <c r="AD335" s="65"/>
      <c r="AH335" s="43" t="s">
        <v>51</v>
      </c>
      <c r="AI335" s="91">
        <v>2.09</v>
      </c>
      <c r="AY335" s="43" t="s">
        <v>51</v>
      </c>
      <c r="AZ335" s="65">
        <v>2.4300000000000002</v>
      </c>
      <c r="BA335" s="65"/>
      <c r="BB335" s="65"/>
      <c r="BC335" s="91"/>
      <c r="BD335" s="91"/>
      <c r="BE335" s="91"/>
      <c r="BF335" s="43" t="s">
        <v>51</v>
      </c>
      <c r="BG335" s="91">
        <v>2.09</v>
      </c>
      <c r="BH335" s="91"/>
      <c r="BW335" s="43" t="s">
        <v>51</v>
      </c>
      <c r="BX335" s="43">
        <v>2.4300000000000002</v>
      </c>
      <c r="CD335" s="43" t="s">
        <v>51</v>
      </c>
      <c r="CE335" s="43">
        <v>2.09</v>
      </c>
    </row>
    <row r="336" spans="1:95" x14ac:dyDescent="0.25">
      <c r="A336" s="88"/>
      <c r="B336" s="68" t="s">
        <v>51</v>
      </c>
      <c r="C336" s="68" t="s">
        <v>37</v>
      </c>
      <c r="D336" s="68" t="s">
        <v>39</v>
      </c>
      <c r="E336" s="68" t="s">
        <v>92</v>
      </c>
      <c r="F336" s="69" t="s">
        <v>91</v>
      </c>
      <c r="H336" s="68" t="s">
        <v>51</v>
      </c>
      <c r="I336" s="68" t="s">
        <v>37</v>
      </c>
      <c r="J336" s="68" t="s">
        <v>39</v>
      </c>
      <c r="K336" s="68" t="s">
        <v>92</v>
      </c>
      <c r="L336" s="69" t="s">
        <v>91</v>
      </c>
      <c r="N336" s="68" t="s">
        <v>51</v>
      </c>
      <c r="O336" s="68" t="s">
        <v>37</v>
      </c>
      <c r="P336" s="68" t="s">
        <v>39</v>
      </c>
      <c r="Q336" s="68" t="s">
        <v>92</v>
      </c>
      <c r="R336" s="69" t="s">
        <v>91</v>
      </c>
      <c r="T336" s="68" t="s">
        <v>37</v>
      </c>
      <c r="U336" s="68" t="s">
        <v>39</v>
      </c>
      <c r="V336" s="68" t="s">
        <v>92</v>
      </c>
      <c r="W336" s="69" t="s">
        <v>91</v>
      </c>
      <c r="Y336" s="134">
        <v>5</v>
      </c>
      <c r="Z336" s="68" t="s">
        <v>51</v>
      </c>
      <c r="AA336" s="137" t="s">
        <v>37</v>
      </c>
      <c r="AB336" s="68" t="s">
        <v>39</v>
      </c>
      <c r="AC336" s="137" t="s">
        <v>92</v>
      </c>
      <c r="AD336" s="69" t="s">
        <v>91</v>
      </c>
      <c r="AF336" s="68" t="s">
        <v>51</v>
      </c>
      <c r="AG336" s="68" t="s">
        <v>37</v>
      </c>
      <c r="AH336" s="68" t="s">
        <v>39</v>
      </c>
      <c r="AI336" s="68" t="s">
        <v>92</v>
      </c>
      <c r="AJ336" s="69" t="s">
        <v>91</v>
      </c>
      <c r="AK336" s="43"/>
      <c r="AL336" s="68" t="s">
        <v>51</v>
      </c>
      <c r="AM336" s="68" t="s">
        <v>37</v>
      </c>
      <c r="AN336" s="68" t="s">
        <v>39</v>
      </c>
      <c r="AO336" s="68" t="s">
        <v>92</v>
      </c>
      <c r="AP336" s="69" t="s">
        <v>91</v>
      </c>
      <c r="AQ336" s="43"/>
      <c r="AR336" s="68" t="s">
        <v>37</v>
      </c>
      <c r="AS336" s="68" t="s">
        <v>39</v>
      </c>
      <c r="AT336" s="68" t="s">
        <v>92</v>
      </c>
      <c r="AU336" s="69" t="s">
        <v>91</v>
      </c>
      <c r="AW336" s="67" t="s">
        <v>96</v>
      </c>
      <c r="AX336" s="68" t="s">
        <v>51</v>
      </c>
      <c r="AY336" s="68" t="s">
        <v>37</v>
      </c>
      <c r="AZ336" s="68" t="s">
        <v>39</v>
      </c>
      <c r="BA336" s="68" t="s">
        <v>92</v>
      </c>
      <c r="BB336" s="69" t="s">
        <v>91</v>
      </c>
      <c r="BC336" s="65"/>
      <c r="BD336" s="68" t="s">
        <v>51</v>
      </c>
      <c r="BE336" s="68" t="s">
        <v>37</v>
      </c>
      <c r="BF336" s="68" t="s">
        <v>39</v>
      </c>
      <c r="BG336" s="68" t="s">
        <v>92</v>
      </c>
      <c r="BH336" s="69" t="s">
        <v>91</v>
      </c>
      <c r="BJ336" s="68" t="s">
        <v>51</v>
      </c>
      <c r="BK336" s="68" t="s">
        <v>37</v>
      </c>
      <c r="BL336" s="68" t="s">
        <v>39</v>
      </c>
      <c r="BM336" s="68" t="s">
        <v>92</v>
      </c>
      <c r="BN336" s="69" t="s">
        <v>91</v>
      </c>
      <c r="BP336" s="68" t="s">
        <v>37</v>
      </c>
      <c r="BQ336" s="68" t="s">
        <v>39</v>
      </c>
      <c r="BR336" s="68" t="s">
        <v>92</v>
      </c>
      <c r="BS336" s="69" t="s">
        <v>91</v>
      </c>
      <c r="BU336" s="88">
        <v>1</v>
      </c>
      <c r="BV336" s="68" t="s">
        <v>51</v>
      </c>
      <c r="BW336" s="68" t="s">
        <v>37</v>
      </c>
      <c r="BX336" s="68" t="s">
        <v>39</v>
      </c>
      <c r="BY336" s="68" t="s">
        <v>92</v>
      </c>
      <c r="BZ336" s="69" t="s">
        <v>91</v>
      </c>
      <c r="CA336" s="65"/>
      <c r="CB336" s="68" t="s">
        <v>51</v>
      </c>
      <c r="CC336" s="68" t="s">
        <v>37</v>
      </c>
      <c r="CD336" s="68" t="s">
        <v>39</v>
      </c>
      <c r="CE336" s="68" t="s">
        <v>92</v>
      </c>
      <c r="CF336" s="69" t="s">
        <v>91</v>
      </c>
      <c r="CH336" s="68" t="s">
        <v>51</v>
      </c>
      <c r="CI336" s="68" t="s">
        <v>37</v>
      </c>
      <c r="CJ336" s="68" t="s">
        <v>39</v>
      </c>
      <c r="CK336" s="68" t="s">
        <v>92</v>
      </c>
      <c r="CL336" s="69" t="s">
        <v>91</v>
      </c>
      <c r="CN336" s="68" t="s">
        <v>37</v>
      </c>
      <c r="CO336" s="68" t="s">
        <v>39</v>
      </c>
      <c r="CP336" s="68" t="s">
        <v>92</v>
      </c>
      <c r="CQ336" s="69" t="s">
        <v>91</v>
      </c>
    </row>
    <row r="337" spans="1:95" x14ac:dyDescent="0.25">
      <c r="A337" s="88" t="s">
        <v>56</v>
      </c>
      <c r="B337" s="65">
        <f>(4.42/2)+(4.68/2)</f>
        <v>4.55</v>
      </c>
      <c r="C337" s="65">
        <f>B337*'analisi dei carichi'!E35</f>
        <v>19.155499999999996</v>
      </c>
      <c r="D337" s="65">
        <f>B337*'analisi dei carichi'!H35</f>
        <v>24.902149999999995</v>
      </c>
      <c r="E337" s="65">
        <f>B337*'analisi dei carichi'!K35</f>
        <v>38.55214999999999</v>
      </c>
      <c r="F337" s="70">
        <f>B337*'analisi dei carichi'!N35</f>
        <v>21.885499999999993</v>
      </c>
      <c r="G337" s="88" t="s">
        <v>56</v>
      </c>
      <c r="H337" s="91">
        <f>4.68/2</f>
        <v>2.34</v>
      </c>
      <c r="I337" s="91">
        <f>H337*'analisi dei carichi'!E35</f>
        <v>9.8513999999999964</v>
      </c>
      <c r="J337" s="91">
        <f>H337*'analisi dei carichi'!H35</f>
        <v>12.806819999999997</v>
      </c>
      <c r="K337" s="91">
        <f>H337*'analisi dei carichi'!K35</f>
        <v>19.826819999999998</v>
      </c>
      <c r="L337" s="91">
        <f>H337*'analisi dei carichi'!N35</f>
        <v>11.255399999999996</v>
      </c>
      <c r="M337" s="88" t="s">
        <v>56</v>
      </c>
      <c r="N337" s="91"/>
      <c r="O337" s="91"/>
      <c r="P337" s="91"/>
      <c r="Q337" s="91"/>
      <c r="R337" s="91"/>
      <c r="S337" s="91"/>
      <c r="T337" s="91">
        <f>(C344+I344)/4.52</f>
        <v>18.710042256637163</v>
      </c>
      <c r="U337" s="91">
        <f>(D344+J344)/4.52</f>
        <v>24.323054933628317</v>
      </c>
      <c r="V337" s="91">
        <f>(E344+K344)/4.52</f>
        <v>35.08080935840708</v>
      </c>
      <c r="W337" s="91">
        <f>(F344+L344)/4.52</f>
        <v>20.826913938053096</v>
      </c>
      <c r="Y337" s="134" t="s">
        <v>56</v>
      </c>
      <c r="Z337" s="47">
        <f>B337</f>
        <v>4.55</v>
      </c>
      <c r="AA337" s="115">
        <f>Z337*'analisi dei carichi'!O28</f>
        <v>23.457979999999999</v>
      </c>
      <c r="AB337" s="89">
        <f>Z337*'analisi dei carichi'!P28</f>
        <v>31.587373999999997</v>
      </c>
      <c r="AC337" s="115">
        <f>Z337*'analisi dei carichi'!K28</f>
        <v>45.237374000000003</v>
      </c>
      <c r="AD337" s="90">
        <f>Z337*'analisi dei carichi'!N28</f>
        <v>26.187979999999996</v>
      </c>
      <c r="AE337" s="134" t="s">
        <v>56</v>
      </c>
      <c r="AF337" s="91">
        <f>H337</f>
        <v>2.34</v>
      </c>
      <c r="AG337" s="91">
        <f>AF337*'analisi dei carichi'!O28</f>
        <v>12.064103999999999</v>
      </c>
      <c r="AH337" s="91">
        <f>AF337*'analisi dei carichi'!P28</f>
        <v>16.244935199999997</v>
      </c>
      <c r="AI337" s="91">
        <f>AF337*'analisi dei carichi'!K28</f>
        <v>23.2649352</v>
      </c>
      <c r="AJ337" s="91">
        <f>AF337*'analisi dei carichi'!N28</f>
        <v>13.468103999999999</v>
      </c>
      <c r="AK337" s="88" t="s">
        <v>56</v>
      </c>
      <c r="AR337" s="91">
        <f>(AA344+AG344+AM343)/4.82</f>
        <v>28.965775468879663</v>
      </c>
      <c r="AS337" s="91">
        <f>(AB344+AH344+AN343)/4.82</f>
        <v>38.449554582572617</v>
      </c>
      <c r="AT337" s="91">
        <f>(AC344+AI344+AO343)/4.82</f>
        <v>54.124803545228218</v>
      </c>
      <c r="AU337" s="91">
        <f>(AD344+AJ344+AP343)/4.82</f>
        <v>33.250758871369285</v>
      </c>
      <c r="AW337" s="88" t="s">
        <v>56</v>
      </c>
      <c r="AX337" s="43">
        <f>Z337</f>
        <v>4.55</v>
      </c>
      <c r="AY337" s="43">
        <f t="shared" ref="AY337:BH337" si="179">AA337</f>
        <v>23.457979999999999</v>
      </c>
      <c r="AZ337" s="43">
        <f t="shared" si="179"/>
        <v>31.587373999999997</v>
      </c>
      <c r="BA337" s="43">
        <f t="shared" si="179"/>
        <v>45.237374000000003</v>
      </c>
      <c r="BB337" s="43">
        <f t="shared" si="179"/>
        <v>26.187979999999996</v>
      </c>
      <c r="BC337" s="43" t="str">
        <f t="shared" si="179"/>
        <v>solaio</v>
      </c>
      <c r="BD337" s="43">
        <f t="shared" si="179"/>
        <v>2.34</v>
      </c>
      <c r="BE337" s="43">
        <f t="shared" si="179"/>
        <v>12.064103999999999</v>
      </c>
      <c r="BF337" s="43">
        <f t="shared" si="179"/>
        <v>16.244935199999997</v>
      </c>
      <c r="BG337" s="43">
        <f t="shared" si="179"/>
        <v>23.2649352</v>
      </c>
      <c r="BH337" s="43">
        <f t="shared" si="179"/>
        <v>13.468103999999999</v>
      </c>
      <c r="BI337" s="88" t="s">
        <v>56</v>
      </c>
      <c r="BP337" s="43">
        <f>(AY344+BE344+BK343)/4.82</f>
        <v>29.669094970954347</v>
      </c>
      <c r="BQ337" s="43">
        <f>(AZ344+BF344+BL343)/4.82</f>
        <v>39.363869935269705</v>
      </c>
      <c r="BR337" s="43">
        <f>(BA344+BG344+BM343)/4.82</f>
        <v>55.039118897925299</v>
      </c>
      <c r="BS337" s="43">
        <f>(BB344+BH344+BN343)/4.82</f>
        <v>33.954078373443977</v>
      </c>
      <c r="BU337" s="43" t="s">
        <v>56</v>
      </c>
      <c r="BV337" s="43">
        <f t="shared" ref="BV337:CG337" si="180">AX337</f>
        <v>4.55</v>
      </c>
      <c r="BW337" s="43">
        <f t="shared" si="180"/>
        <v>23.457979999999999</v>
      </c>
      <c r="BX337" s="43">
        <f t="shared" si="180"/>
        <v>31.587373999999997</v>
      </c>
      <c r="BY337" s="43">
        <f t="shared" si="180"/>
        <v>45.237374000000003</v>
      </c>
      <c r="BZ337" s="43">
        <f t="shared" si="180"/>
        <v>26.187979999999996</v>
      </c>
      <c r="CA337" s="43" t="str">
        <f t="shared" si="180"/>
        <v>solaio</v>
      </c>
      <c r="CB337" s="43">
        <f t="shared" si="180"/>
        <v>2.34</v>
      </c>
      <c r="CC337" s="43">
        <f t="shared" si="180"/>
        <v>12.064103999999999</v>
      </c>
      <c r="CD337" s="43">
        <f t="shared" si="180"/>
        <v>16.244935199999997</v>
      </c>
      <c r="CE337" s="43">
        <f t="shared" si="180"/>
        <v>23.2649352</v>
      </c>
      <c r="CF337" s="43">
        <f t="shared" si="180"/>
        <v>13.468103999999999</v>
      </c>
      <c r="CG337" s="43" t="str">
        <f t="shared" si="180"/>
        <v>solaio</v>
      </c>
      <c r="CN337" s="43">
        <f>(BW344+CC344+CI343)/4.82</f>
        <v>25.634744556016592</v>
      </c>
      <c r="CO337" s="43">
        <f>(BX344+CD344+CJ343)/4.82</f>
        <v>34.119214395850619</v>
      </c>
      <c r="CP337" s="43">
        <f>(BY344+CE344+CK343)/4.82</f>
        <v>44.044795308713688</v>
      </c>
      <c r="CQ337" s="43">
        <f>(BZ344+CF344+CL343)/4.82</f>
        <v>27.61986073858921</v>
      </c>
    </row>
    <row r="338" spans="1:95" x14ac:dyDescent="0.25">
      <c r="A338" s="88" t="s">
        <v>340</v>
      </c>
      <c r="B338" s="65"/>
      <c r="C338" s="65"/>
      <c r="D338" s="65"/>
      <c r="E338" s="65"/>
      <c r="F338" s="70"/>
      <c r="G338" s="88" t="s">
        <v>340</v>
      </c>
      <c r="H338" s="91">
        <v>0.5</v>
      </c>
      <c r="I338" s="91">
        <f>H338*'analisi dei carichi'!E38</f>
        <v>1.95</v>
      </c>
      <c r="J338" s="91">
        <f>H338*'analisi dei carichi'!H38</f>
        <v>2.5350000000000001</v>
      </c>
      <c r="K338" s="91">
        <f>H338*'analisi dei carichi'!K38</f>
        <v>2.91</v>
      </c>
      <c r="L338" s="91">
        <f>H338*'analisi dei carichi'!N38</f>
        <v>1.95</v>
      </c>
      <c r="M338" s="88" t="s">
        <v>340</v>
      </c>
      <c r="N338" s="91"/>
      <c r="O338" s="91"/>
      <c r="P338" s="91"/>
      <c r="Q338" s="91"/>
      <c r="R338" s="91"/>
      <c r="S338" s="91"/>
      <c r="T338" s="91"/>
      <c r="U338" s="91"/>
      <c r="Y338" s="88" t="s">
        <v>340</v>
      </c>
      <c r="Z338" s="47"/>
      <c r="AA338" s="115"/>
      <c r="AB338" s="89"/>
      <c r="AC338" s="115"/>
      <c r="AD338" s="90"/>
      <c r="AE338" s="88" t="s">
        <v>340</v>
      </c>
      <c r="AF338" s="91">
        <f>4.42/2</f>
        <v>2.21</v>
      </c>
      <c r="AG338" s="91">
        <f>AF338*'analisi dei carichi'!E32</f>
        <v>9.3040999999999983</v>
      </c>
      <c r="AH338" s="91">
        <f>AF338*'analisi dei carichi'!H32</f>
        <v>12.095329999999997</v>
      </c>
      <c r="AI338" s="91">
        <f>AF338*'analisi dei carichi'!K32</f>
        <v>25.355329999999999</v>
      </c>
      <c r="AJ338" s="91">
        <f>AF338*'analisi dei carichi'!N32</f>
        <v>14.608099999999999</v>
      </c>
      <c r="AK338" s="88" t="s">
        <v>340</v>
      </c>
      <c r="AW338" s="88" t="s">
        <v>340</v>
      </c>
      <c r="BC338" s="43" t="str">
        <f t="shared" ref="BC338:BH338" si="181">AE338</f>
        <v>terrazzino/corn</v>
      </c>
      <c r="BD338" s="43">
        <f t="shared" si="181"/>
        <v>2.21</v>
      </c>
      <c r="BE338" s="43">
        <f t="shared" si="181"/>
        <v>9.3040999999999983</v>
      </c>
      <c r="BF338" s="43">
        <f t="shared" si="181"/>
        <v>12.095329999999997</v>
      </c>
      <c r="BG338" s="43">
        <f t="shared" si="181"/>
        <v>25.355329999999999</v>
      </c>
      <c r="BH338" s="43">
        <f t="shared" si="181"/>
        <v>14.608099999999999</v>
      </c>
      <c r="BI338" s="88" t="s">
        <v>340</v>
      </c>
      <c r="BU338" s="88" t="s">
        <v>340</v>
      </c>
      <c r="CA338" s="43" t="str">
        <f>BC338</f>
        <v>terrazzino/corn</v>
      </c>
      <c r="CG338" s="43" t="str">
        <f t="shared" ref="CG338:CG343" si="182">BI338</f>
        <v>terrazzino/corn</v>
      </c>
    </row>
    <row r="339" spans="1:95" x14ac:dyDescent="0.25">
      <c r="A339" s="88" t="s">
        <v>77</v>
      </c>
      <c r="B339" s="65"/>
      <c r="C339" s="65"/>
      <c r="D339" s="65"/>
      <c r="E339" s="65"/>
      <c r="F339" s="70"/>
      <c r="G339" s="88" t="s">
        <v>77</v>
      </c>
      <c r="H339" s="91"/>
      <c r="I339" s="91"/>
      <c r="J339" s="91"/>
      <c r="K339" s="91"/>
      <c r="L339" s="91"/>
      <c r="M339" s="88" t="s">
        <v>77</v>
      </c>
      <c r="N339" s="91"/>
      <c r="O339" s="91"/>
      <c r="P339" s="91"/>
      <c r="Q339" s="91"/>
      <c r="R339" s="91"/>
      <c r="S339" s="91"/>
      <c r="T339" s="91"/>
      <c r="U339" s="91"/>
      <c r="Y339" s="134" t="s">
        <v>77</v>
      </c>
      <c r="Z339" s="47"/>
      <c r="AA339" s="115"/>
      <c r="AB339" s="89"/>
      <c r="AC339" s="115"/>
      <c r="AD339" s="90"/>
      <c r="AE339" s="134" t="s">
        <v>77</v>
      </c>
      <c r="AK339" s="88" t="s">
        <v>77</v>
      </c>
      <c r="AW339" s="88" t="s">
        <v>77</v>
      </c>
      <c r="BC339" s="43" t="str">
        <f>AE339</f>
        <v>scala</v>
      </c>
      <c r="BI339" s="88" t="s">
        <v>77</v>
      </c>
      <c r="BU339" s="43" t="s">
        <v>77</v>
      </c>
      <c r="CA339" s="43" t="str">
        <f>BC339</f>
        <v>scala</v>
      </c>
      <c r="CG339" s="43" t="str">
        <f t="shared" si="182"/>
        <v>scala</v>
      </c>
    </row>
    <row r="340" spans="1:95" x14ac:dyDescent="0.25">
      <c r="A340" s="88" t="s">
        <v>78</v>
      </c>
      <c r="B340" s="65">
        <v>1</v>
      </c>
      <c r="C340" s="65">
        <f>B340*'analisi dei carichi'!E37</f>
        <v>2.9550000000000001</v>
      </c>
      <c r="D340" s="65">
        <f>B340*'analisi dei carichi'!H37</f>
        <v>3.8415000000000004</v>
      </c>
      <c r="E340" s="65">
        <f>B340*'analisi dei carichi'!K37</f>
        <v>3.8415000000000004</v>
      </c>
      <c r="F340" s="70">
        <f>B340*'analisi dei carichi'!N37</f>
        <v>2.9550000000000001</v>
      </c>
      <c r="G340" s="88" t="s">
        <v>78</v>
      </c>
      <c r="H340" s="43">
        <f>B340</f>
        <v>1</v>
      </c>
      <c r="I340" s="43">
        <f>C340</f>
        <v>2.9550000000000001</v>
      </c>
      <c r="J340" s="43">
        <f>D340</f>
        <v>3.8415000000000004</v>
      </c>
      <c r="K340" s="43">
        <f>E340</f>
        <v>3.8415000000000004</v>
      </c>
      <c r="L340" s="43">
        <f>F340</f>
        <v>2.9550000000000001</v>
      </c>
      <c r="M340" s="88" t="s">
        <v>78</v>
      </c>
      <c r="N340" s="91"/>
      <c r="O340" s="91"/>
      <c r="P340" s="91"/>
      <c r="Q340" s="91"/>
      <c r="R340" s="91"/>
      <c r="S340" s="91"/>
      <c r="T340" s="91"/>
      <c r="U340" s="91"/>
      <c r="Y340" s="134" t="s">
        <v>78</v>
      </c>
      <c r="Z340" s="47">
        <f>B340</f>
        <v>1</v>
      </c>
      <c r="AA340" s="137">
        <f>C340</f>
        <v>2.9550000000000001</v>
      </c>
      <c r="AB340" s="47">
        <f>D340</f>
        <v>3.8415000000000004</v>
      </c>
      <c r="AC340" s="137">
        <f>E340</f>
        <v>3.8415000000000004</v>
      </c>
      <c r="AD340" s="46">
        <f>F340</f>
        <v>2.9550000000000001</v>
      </c>
      <c r="AE340" s="134" t="s">
        <v>78</v>
      </c>
      <c r="AF340" s="43">
        <f>Z340</f>
        <v>1</v>
      </c>
      <c r="AG340" s="43">
        <f>AA340</f>
        <v>2.9550000000000001</v>
      </c>
      <c r="AH340" s="43">
        <f>AB340</f>
        <v>3.8415000000000004</v>
      </c>
      <c r="AI340" s="43">
        <f>AC340</f>
        <v>3.8415000000000004</v>
      </c>
      <c r="AJ340" s="43">
        <f>AD340</f>
        <v>2.9550000000000001</v>
      </c>
      <c r="AK340" s="88" t="s">
        <v>78</v>
      </c>
      <c r="AW340" s="88" t="s">
        <v>78</v>
      </c>
      <c r="AX340" s="43">
        <f>Z340</f>
        <v>1</v>
      </c>
      <c r="AY340" s="43">
        <f>AX340*'analisi dei carichi'!E30</f>
        <v>3.7050000000000001</v>
      </c>
      <c r="AZ340" s="43">
        <f>AX340*'analisi dei carichi'!H30</f>
        <v>4.8165000000000004</v>
      </c>
      <c r="BA340" s="43">
        <f>AX340*'analisi dei carichi'!K30</f>
        <v>4.8165000000000004</v>
      </c>
      <c r="BB340" s="43">
        <f>AX340*'analisi dei carichi'!N30</f>
        <v>3.7050000000000001</v>
      </c>
      <c r="BC340" s="43" t="str">
        <f>AE340</f>
        <v>trave emergente</v>
      </c>
      <c r="BD340" s="43">
        <f>AX340</f>
        <v>1</v>
      </c>
      <c r="BE340" s="43">
        <f>AY340</f>
        <v>3.7050000000000001</v>
      </c>
      <c r="BF340" s="43">
        <f>AZ340</f>
        <v>4.8165000000000004</v>
      </c>
      <c r="BG340" s="43">
        <f>BA340</f>
        <v>4.8165000000000004</v>
      </c>
      <c r="BH340" s="43">
        <f>BB340</f>
        <v>3.7050000000000001</v>
      </c>
      <c r="BI340" s="88" t="s">
        <v>78</v>
      </c>
      <c r="BU340" s="43" t="s">
        <v>78</v>
      </c>
      <c r="BV340" s="43">
        <f>AX340</f>
        <v>1</v>
      </c>
      <c r="BW340" s="43">
        <f>AY340</f>
        <v>3.7050000000000001</v>
      </c>
      <c r="BX340" s="43">
        <f>AZ340</f>
        <v>4.8165000000000004</v>
      </c>
      <c r="BY340" s="43">
        <f>BA340</f>
        <v>4.8165000000000004</v>
      </c>
      <c r="BZ340" s="43">
        <f>BB340</f>
        <v>3.7050000000000001</v>
      </c>
      <c r="CA340" s="43" t="str">
        <f>BC340</f>
        <v>trave emergente</v>
      </c>
      <c r="CB340" s="43">
        <f>BD340</f>
        <v>1</v>
      </c>
      <c r="CC340" s="43">
        <f>BE340</f>
        <v>3.7050000000000001</v>
      </c>
      <c r="CD340" s="43">
        <f>BF340</f>
        <v>4.8165000000000004</v>
      </c>
      <c r="CE340" s="43">
        <f>BG340</f>
        <v>4.8165000000000004</v>
      </c>
      <c r="CF340" s="43">
        <f>BH340</f>
        <v>3.7050000000000001</v>
      </c>
      <c r="CG340" s="43" t="str">
        <f t="shared" si="182"/>
        <v>trave emergente</v>
      </c>
    </row>
    <row r="341" spans="1:95" x14ac:dyDescent="0.25">
      <c r="A341" s="88" t="s">
        <v>79</v>
      </c>
      <c r="B341" s="65"/>
      <c r="C341" s="65"/>
      <c r="D341" s="65"/>
      <c r="E341" s="65"/>
      <c r="F341" s="70"/>
      <c r="G341" s="88" t="s">
        <v>79</v>
      </c>
      <c r="H341" s="91"/>
      <c r="I341" s="91"/>
      <c r="J341" s="91"/>
      <c r="K341" s="91"/>
      <c r="L341" s="91"/>
      <c r="M341" s="88" t="s">
        <v>79</v>
      </c>
      <c r="N341" s="91"/>
      <c r="O341" s="91"/>
      <c r="P341" s="91"/>
      <c r="Q341" s="91"/>
      <c r="R341" s="91"/>
      <c r="S341" s="91"/>
      <c r="T341" s="91"/>
      <c r="U341" s="91"/>
      <c r="Y341" s="134" t="s">
        <v>79</v>
      </c>
      <c r="Z341" s="47"/>
      <c r="AA341" s="115"/>
      <c r="AB341" s="89"/>
      <c r="AC341" s="115"/>
      <c r="AD341" s="90"/>
      <c r="AE341" s="134" t="s">
        <v>79</v>
      </c>
      <c r="AK341" s="88" t="s">
        <v>79</v>
      </c>
      <c r="AW341" s="88" t="s">
        <v>79</v>
      </c>
      <c r="BC341" s="43" t="str">
        <f>AE341</f>
        <v>trave a spessore</v>
      </c>
      <c r="BI341" s="88" t="s">
        <v>79</v>
      </c>
      <c r="BU341" s="43" t="s">
        <v>79</v>
      </c>
      <c r="CA341" s="43" t="str">
        <f>BC341</f>
        <v>trave a spessore</v>
      </c>
      <c r="CG341" s="43" t="str">
        <f t="shared" si="182"/>
        <v>trave a spessore</v>
      </c>
    </row>
    <row r="342" spans="1:95" x14ac:dyDescent="0.25">
      <c r="A342" s="88" t="s">
        <v>80</v>
      </c>
      <c r="B342" s="71"/>
      <c r="C342" s="71"/>
      <c r="D342" s="71"/>
      <c r="E342" s="71"/>
      <c r="F342" s="72"/>
      <c r="G342" s="88" t="s">
        <v>80</v>
      </c>
      <c r="H342" s="91"/>
      <c r="I342" s="91"/>
      <c r="J342" s="91"/>
      <c r="K342" s="91"/>
      <c r="L342" s="91"/>
      <c r="M342" s="88" t="s">
        <v>80</v>
      </c>
      <c r="N342" s="91"/>
      <c r="O342" s="91"/>
      <c r="P342" s="91"/>
      <c r="Q342" s="91"/>
      <c r="R342" s="91"/>
      <c r="S342" s="91"/>
      <c r="T342" s="91"/>
      <c r="U342" s="91"/>
      <c r="Y342" s="134" t="s">
        <v>80</v>
      </c>
      <c r="Z342" s="48"/>
      <c r="AA342" s="141"/>
      <c r="AB342" s="98"/>
      <c r="AC342" s="141"/>
      <c r="AD342" s="99"/>
      <c r="AE342" s="134" t="s">
        <v>80</v>
      </c>
      <c r="AF342" s="91">
        <v>1</v>
      </c>
      <c r="AG342" s="91">
        <f>AF342*'analisi dei carichi'!E29</f>
        <v>5.7200000000000006</v>
      </c>
      <c r="AH342" s="91">
        <f>AF342*'analisi dei carichi'!H29</f>
        <v>7.4360000000000008</v>
      </c>
      <c r="AI342" s="91">
        <f>AF342*'analisi dei carichi'!K29</f>
        <v>7.4360000000000008</v>
      </c>
      <c r="AJ342" s="91">
        <f>AF342*'analisi dei carichi'!N29</f>
        <v>5.7200000000000006</v>
      </c>
      <c r="AK342" s="88" t="s">
        <v>80</v>
      </c>
      <c r="AL342" s="91">
        <f>4.42/2</f>
        <v>2.21</v>
      </c>
      <c r="AM342" s="91">
        <f>AL342*'analisi dei carichi'!E29</f>
        <v>12.641200000000001</v>
      </c>
      <c r="AN342" s="91">
        <f>AL342*'analisi dei carichi'!H29</f>
        <v>16.43356</v>
      </c>
      <c r="AO342" s="91">
        <f>AL342*'analisi dei carichi'!K29</f>
        <v>16.43356</v>
      </c>
      <c r="AP342" s="91">
        <f>AL342*'analisi dei carichi'!N29</f>
        <v>12.641200000000001</v>
      </c>
      <c r="AW342" s="88" t="s">
        <v>80</v>
      </c>
      <c r="BC342" s="43" t="str">
        <f>AE342</f>
        <v>tamponatura</v>
      </c>
      <c r="BD342" s="43">
        <f>AF342</f>
        <v>1</v>
      </c>
      <c r="BE342" s="43">
        <f>AG342</f>
        <v>5.7200000000000006</v>
      </c>
      <c r="BF342" s="43">
        <f>AH342</f>
        <v>7.4360000000000008</v>
      </c>
      <c r="BG342" s="43">
        <f>AI342</f>
        <v>7.4360000000000008</v>
      </c>
      <c r="BH342" s="43">
        <f>AJ342</f>
        <v>5.7200000000000006</v>
      </c>
      <c r="BI342" s="88" t="s">
        <v>80</v>
      </c>
      <c r="BJ342" s="43">
        <f>AL342</f>
        <v>2.21</v>
      </c>
      <c r="BK342" s="43">
        <f>AM342</f>
        <v>12.641200000000001</v>
      </c>
      <c r="BL342" s="43">
        <f>AN342</f>
        <v>16.43356</v>
      </c>
      <c r="BM342" s="43">
        <f>AO342</f>
        <v>16.43356</v>
      </c>
      <c r="BN342" s="43">
        <f>AP342</f>
        <v>12.641200000000001</v>
      </c>
      <c r="BU342" s="43" t="s">
        <v>80</v>
      </c>
      <c r="CA342" s="43" t="str">
        <f>BC342</f>
        <v>tamponatura</v>
      </c>
      <c r="CB342" s="43">
        <f>BD342</f>
        <v>1</v>
      </c>
      <c r="CC342" s="43">
        <f>BE342</f>
        <v>5.7200000000000006</v>
      </c>
      <c r="CD342" s="43">
        <f>BF342</f>
        <v>7.4360000000000008</v>
      </c>
      <c r="CE342" s="43">
        <f>BG342</f>
        <v>7.4360000000000008</v>
      </c>
      <c r="CF342" s="43">
        <f>BH342</f>
        <v>5.7200000000000006</v>
      </c>
      <c r="CG342" s="43" t="str">
        <f t="shared" si="182"/>
        <v>tamponatura</v>
      </c>
      <c r="CH342" s="43">
        <f>BJ342</f>
        <v>2.21</v>
      </c>
      <c r="CI342" s="43">
        <f>BK342</f>
        <v>12.641200000000001</v>
      </c>
      <c r="CJ342" s="43">
        <f>BL342</f>
        <v>16.43356</v>
      </c>
      <c r="CK342" s="43">
        <f>BM342</f>
        <v>16.43356</v>
      </c>
      <c r="CL342" s="43">
        <f>BN342</f>
        <v>12.641200000000001</v>
      </c>
    </row>
    <row r="343" spans="1:95" x14ac:dyDescent="0.25">
      <c r="A343" s="88" t="s">
        <v>55</v>
      </c>
      <c r="B343" s="65"/>
      <c r="C343" s="65">
        <f>SUM(C337:C342)</f>
        <v>22.110499999999995</v>
      </c>
      <c r="D343" s="65">
        <f>SUM(D337:D342)</f>
        <v>28.743649999999995</v>
      </c>
      <c r="E343" s="65">
        <f>SUM(E337:E342)</f>
        <v>42.393649999999994</v>
      </c>
      <c r="F343" s="65">
        <f>SUM(F337:F342)</f>
        <v>24.840499999999992</v>
      </c>
      <c r="G343" s="88" t="s">
        <v>55</v>
      </c>
      <c r="H343" s="91"/>
      <c r="I343" s="91">
        <f>SUM(I337:I342)</f>
        <v>14.756399999999996</v>
      </c>
      <c r="J343" s="91">
        <f>SUM(J337:J342)</f>
        <v>19.183319999999998</v>
      </c>
      <c r="K343" s="91">
        <f>SUM(K337:K342)</f>
        <v>26.578319999999998</v>
      </c>
      <c r="L343" s="91">
        <f>SUM(L337:L342)</f>
        <v>16.160399999999996</v>
      </c>
      <c r="M343" s="88" t="s">
        <v>55</v>
      </c>
      <c r="N343" s="91"/>
      <c r="O343" s="91"/>
      <c r="P343" s="91"/>
      <c r="Q343" s="91"/>
      <c r="R343" s="91"/>
      <c r="S343" s="91"/>
      <c r="T343" s="91"/>
      <c r="U343" s="91"/>
      <c r="Y343" s="134" t="s">
        <v>55</v>
      </c>
      <c r="AA343" s="134">
        <f>SUM(AA337:AA342)</f>
        <v>26.412979999999997</v>
      </c>
      <c r="AB343" s="91">
        <f>SUM(AB337:AB342)</f>
        <v>35.428874</v>
      </c>
      <c r="AC343" s="134">
        <f>SUM(AC337:AC342)</f>
        <v>49.078874000000006</v>
      </c>
      <c r="AD343" s="91">
        <f>SUM(AD337:AD342)</f>
        <v>29.142979999999994</v>
      </c>
      <c r="AE343" s="134" t="s">
        <v>55</v>
      </c>
      <c r="AG343" s="91">
        <f>SUM(AG337:AG342)</f>
        <v>30.043203999999996</v>
      </c>
      <c r="AH343" s="91">
        <f>SUM(AH337:AH342)</f>
        <v>39.617765199999994</v>
      </c>
      <c r="AI343" s="91">
        <f>SUM(AI337:AI342)</f>
        <v>59.897765200000002</v>
      </c>
      <c r="AJ343" s="91">
        <f>SUM(AJ337:AJ342)</f>
        <v>36.751203999999994</v>
      </c>
      <c r="AK343" s="88" t="s">
        <v>55</v>
      </c>
      <c r="AM343" s="91">
        <f>SUM(AM337:AM342)</f>
        <v>12.641200000000001</v>
      </c>
      <c r="AN343" s="91">
        <f>SUM(AN337:AN342)</f>
        <v>16.43356</v>
      </c>
      <c r="AO343" s="91">
        <f>SUM(AO337:AO342)</f>
        <v>16.43356</v>
      </c>
      <c r="AP343" s="91">
        <f>SUM(AP337:AP342)</f>
        <v>12.641200000000001</v>
      </c>
      <c r="AW343" s="88" t="s">
        <v>55</v>
      </c>
      <c r="AY343" s="43">
        <f>SUM(AY337:AY342)</f>
        <v>27.162979999999997</v>
      </c>
      <c r="AZ343" s="43">
        <f>SUM(AZ337:AZ342)</f>
        <v>36.403873999999995</v>
      </c>
      <c r="BA343" s="43">
        <f>SUM(BA337:BA342)</f>
        <v>50.053874</v>
      </c>
      <c r="BB343" s="43">
        <f>SUM(BB337:BB342)</f>
        <v>29.892979999999994</v>
      </c>
      <c r="BE343" s="43">
        <f>SUM(BE337:BE342)</f>
        <v>30.793203999999996</v>
      </c>
      <c r="BF343" s="43">
        <f>SUM(BF337:BF342)</f>
        <v>40.592765199999995</v>
      </c>
      <c r="BG343" s="43">
        <f>SUM(BG337:BG342)</f>
        <v>60.872765199999996</v>
      </c>
      <c r="BH343" s="43">
        <f>SUM(BH337:BH342)</f>
        <v>37.501203999999994</v>
      </c>
      <c r="BI343" s="88" t="s">
        <v>55</v>
      </c>
      <c r="BK343" s="43">
        <f>SUM(BK337:BK342)</f>
        <v>12.641200000000001</v>
      </c>
      <c r="BL343" s="43">
        <f>SUM(BL337:BL342)</f>
        <v>16.43356</v>
      </c>
      <c r="BM343" s="43">
        <f>SUM(BM337:BM342)</f>
        <v>16.43356</v>
      </c>
      <c r="BN343" s="43">
        <f>SUM(BN337:BN342)</f>
        <v>12.641200000000001</v>
      </c>
      <c r="BU343" s="43" t="s">
        <v>55</v>
      </c>
      <c r="BW343" s="43">
        <f>SUM(BW337:BW342)</f>
        <v>27.162979999999997</v>
      </c>
      <c r="BX343" s="43">
        <f>SUM(BX337:BX342)</f>
        <v>36.403873999999995</v>
      </c>
      <c r="BY343" s="43">
        <f>SUM(BY337:BY342)</f>
        <v>50.053874</v>
      </c>
      <c r="BZ343" s="43">
        <f>SUM(BZ337:BZ342)</f>
        <v>29.892979999999994</v>
      </c>
      <c r="CC343" s="43">
        <f>SUM(CC337:CC342)</f>
        <v>21.489103999999998</v>
      </c>
      <c r="CD343" s="43">
        <f>SUM(CD337:CD342)</f>
        <v>28.497435199999998</v>
      </c>
      <c r="CE343" s="43">
        <f>SUM(CE337:CE342)</f>
        <v>35.517435200000001</v>
      </c>
      <c r="CF343" s="43">
        <f>SUM(CF337:CF342)</f>
        <v>22.893104000000001</v>
      </c>
      <c r="CG343" s="43" t="str">
        <f t="shared" si="182"/>
        <v>totale</v>
      </c>
      <c r="CI343" s="43">
        <f>BK343</f>
        <v>12.641200000000001</v>
      </c>
      <c r="CJ343" s="43">
        <f>BL343</f>
        <v>16.43356</v>
      </c>
      <c r="CK343" s="43">
        <f>BM343</f>
        <v>16.43356</v>
      </c>
      <c r="CL343" s="43">
        <f>BN343</f>
        <v>12.641200000000001</v>
      </c>
    </row>
    <row r="344" spans="1:95" x14ac:dyDescent="0.25">
      <c r="C344" s="43">
        <f>C343*$D$335</f>
        <v>53.728514999999987</v>
      </c>
      <c r="D344" s="43">
        <f>D343*$D$335</f>
        <v>69.847069499999989</v>
      </c>
      <c r="E344" s="43">
        <f>E343*$D$335</f>
        <v>103.01656949999999</v>
      </c>
      <c r="F344" s="43">
        <f>F343*$D$335</f>
        <v>60.362414999999984</v>
      </c>
      <c r="I344" s="43">
        <f>I343*$K$335</f>
        <v>30.840875999999987</v>
      </c>
      <c r="J344" s="43">
        <f>J343*$K$335</f>
        <v>40.093138799999991</v>
      </c>
      <c r="K344" s="43">
        <f>K343*$K$335</f>
        <v>55.548688799999994</v>
      </c>
      <c r="L344" s="43">
        <f>L343*$K$335</f>
        <v>33.775235999999985</v>
      </c>
      <c r="AA344" s="134">
        <f>AA343*$AB$335</f>
        <v>64.183541399999996</v>
      </c>
      <c r="AB344" s="91">
        <f>AB343*$AB$335</f>
        <v>86.09216382000001</v>
      </c>
      <c r="AC344" s="134">
        <f>AC343*$AB$335</f>
        <v>119.26166382000002</v>
      </c>
      <c r="AD344" s="91">
        <f>AD343*$AB$335</f>
        <v>70.817441399999993</v>
      </c>
      <c r="AG344" s="91">
        <f>AG343*$AI$335</f>
        <v>62.790296359999985</v>
      </c>
      <c r="AH344" s="91">
        <f>AH343*$AI$335</f>
        <v>82.801129267999983</v>
      </c>
      <c r="AI344" s="91">
        <f>AI343*$AI$335</f>
        <v>125.18632926799999</v>
      </c>
      <c r="AJ344" s="91">
        <f>AJ343*$AI$335</f>
        <v>76.810016359999977</v>
      </c>
      <c r="AY344" s="43">
        <f>AY343*$AZ$335</f>
        <v>66.006041400000001</v>
      </c>
      <c r="AZ344" s="43">
        <f>AZ343*$AZ$335</f>
        <v>88.46141381999999</v>
      </c>
      <c r="BA344" s="43">
        <f>BA343*$AZ$335</f>
        <v>121.63091382</v>
      </c>
      <c r="BB344" s="43">
        <f>BB343*$AZ$335</f>
        <v>72.639941399999998</v>
      </c>
      <c r="BE344" s="43">
        <f>BE343*$BG$335</f>
        <v>64.35779635999998</v>
      </c>
      <c r="BF344" s="43">
        <f>BF343*$BG$335</f>
        <v>84.838879267999985</v>
      </c>
      <c r="BG344" s="43">
        <f>BG343*$BG$335</f>
        <v>127.22407926799998</v>
      </c>
      <c r="BH344" s="43">
        <f>BH343*$BG$335</f>
        <v>78.377516359999987</v>
      </c>
      <c r="BW344" s="43">
        <f>BW343*$BX$335</f>
        <v>66.006041400000001</v>
      </c>
      <c r="BX344" s="43">
        <f>BX343*$BX$335</f>
        <v>88.46141381999999</v>
      </c>
      <c r="BY344" s="43">
        <f>BY343*$BX$335</f>
        <v>121.63091382</v>
      </c>
      <c r="BZ344" s="43">
        <f>BZ343*$BX$335</f>
        <v>72.639941399999998</v>
      </c>
      <c r="CC344" s="43">
        <f>CC343*$CE$335</f>
        <v>44.912227359999989</v>
      </c>
      <c r="CD344" s="43">
        <f>CD343*$CE$335</f>
        <v>59.559639567999994</v>
      </c>
      <c r="CE344" s="43">
        <f>CE343*$CE$335</f>
        <v>74.231439567999999</v>
      </c>
      <c r="CF344" s="43">
        <f>CF343*$CE$335</f>
        <v>47.846587360000001</v>
      </c>
    </row>
    <row r="345" spans="1:95" x14ac:dyDescent="0.25">
      <c r="C345" s="63" t="s">
        <v>149</v>
      </c>
      <c r="D345" s="62" t="s">
        <v>150</v>
      </c>
    </row>
    <row r="346" spans="1:95" x14ac:dyDescent="0.25">
      <c r="B346" s="57" t="s">
        <v>76</v>
      </c>
      <c r="C346" s="43" t="s">
        <v>93</v>
      </c>
      <c r="H346" s="43" t="s">
        <v>93</v>
      </c>
      <c r="L346" s="43" t="s">
        <v>93</v>
      </c>
      <c r="Q346" s="43" t="s">
        <v>93</v>
      </c>
    </row>
    <row r="347" spans="1:95" x14ac:dyDescent="0.25">
      <c r="B347" s="50" t="s">
        <v>151</v>
      </c>
      <c r="C347" s="44">
        <v>6</v>
      </c>
      <c r="H347" s="43" t="s">
        <v>95</v>
      </c>
      <c r="L347" s="43" t="s">
        <v>96</v>
      </c>
      <c r="Q347" s="44">
        <v>1</v>
      </c>
    </row>
    <row r="348" spans="1:95" x14ac:dyDescent="0.25">
      <c r="B348" s="47" t="s">
        <v>51</v>
      </c>
      <c r="C348" s="47" t="s">
        <v>37</v>
      </c>
      <c r="D348" s="47" t="s">
        <v>39</v>
      </c>
      <c r="E348" s="47" t="s">
        <v>92</v>
      </c>
      <c r="F348" s="58" t="s">
        <v>91</v>
      </c>
      <c r="G348" s="47" t="s">
        <v>51</v>
      </c>
      <c r="H348" s="47" t="s">
        <v>37</v>
      </c>
      <c r="I348" s="47" t="s">
        <v>39</v>
      </c>
      <c r="J348" s="47" t="s">
        <v>92</v>
      </c>
      <c r="K348" s="58" t="s">
        <v>91</v>
      </c>
      <c r="L348" s="47" t="s">
        <v>51</v>
      </c>
      <c r="M348" s="47" t="s">
        <v>37</v>
      </c>
      <c r="N348" s="47" t="s">
        <v>39</v>
      </c>
      <c r="O348" s="47" t="s">
        <v>92</v>
      </c>
      <c r="P348" s="58" t="s">
        <v>91</v>
      </c>
      <c r="Q348" s="47" t="s">
        <v>51</v>
      </c>
      <c r="R348" s="47" t="s">
        <v>37</v>
      </c>
      <c r="S348" s="47" t="s">
        <v>39</v>
      </c>
      <c r="T348" s="47" t="s">
        <v>92</v>
      </c>
      <c r="U348" s="58" t="s">
        <v>91</v>
      </c>
    </row>
    <row r="349" spans="1:95" x14ac:dyDescent="0.25">
      <c r="A349" s="91" t="s">
        <v>56</v>
      </c>
      <c r="B349" s="43">
        <f>4.68/2</f>
        <v>2.34</v>
      </c>
      <c r="C349" s="43">
        <f>B349*'analisi dei carichi'!E35</f>
        <v>9.8513999999999964</v>
      </c>
      <c r="D349" s="43">
        <f>B349*'analisi dei carichi'!H35</f>
        <v>12.806819999999997</v>
      </c>
      <c r="E349" s="43">
        <f>B349*'analisi dei carichi'!K35</f>
        <v>19.826819999999998</v>
      </c>
      <c r="F349" s="46">
        <f>B349*'analisi dei carichi'!N35</f>
        <v>11.255399999999996</v>
      </c>
      <c r="G349" s="43">
        <f>B349</f>
        <v>2.34</v>
      </c>
      <c r="H349" s="43">
        <f>G349*'analisi dei carichi'!O28</f>
        <v>12.064103999999999</v>
      </c>
      <c r="I349" s="43">
        <f>G349*'analisi dei carichi'!P28</f>
        <v>16.244935199999997</v>
      </c>
      <c r="J349" s="43">
        <f>G349*'analisi dei carichi'!K28</f>
        <v>23.2649352</v>
      </c>
      <c r="K349" s="46">
        <f>G349*'analisi dei carichi'!N28</f>
        <v>13.468103999999999</v>
      </c>
      <c r="L349" s="43">
        <f>G349</f>
        <v>2.34</v>
      </c>
      <c r="M349" s="43">
        <f t="shared" ref="M349:U349" si="183">H349</f>
        <v>12.064103999999999</v>
      </c>
      <c r="N349" s="43">
        <f t="shared" si="183"/>
        <v>16.244935199999997</v>
      </c>
      <c r="O349" s="43">
        <f t="shared" si="183"/>
        <v>23.2649352</v>
      </c>
      <c r="P349" s="43">
        <f t="shared" si="183"/>
        <v>13.468103999999999</v>
      </c>
      <c r="Q349" s="43">
        <f t="shared" si="183"/>
        <v>2.34</v>
      </c>
      <c r="R349" s="43">
        <f t="shared" si="183"/>
        <v>12.064103999999999</v>
      </c>
      <c r="S349" s="43">
        <f t="shared" si="183"/>
        <v>16.244935199999997</v>
      </c>
      <c r="T349" s="43">
        <f t="shared" si="183"/>
        <v>23.2649352</v>
      </c>
      <c r="U349" s="43">
        <f t="shared" si="183"/>
        <v>13.468103999999999</v>
      </c>
      <c r="V349" s="43"/>
    </row>
    <row r="350" spans="1:95" x14ac:dyDescent="0.25">
      <c r="A350" s="88" t="s">
        <v>340</v>
      </c>
      <c r="B350" s="43">
        <v>0.5</v>
      </c>
      <c r="C350" s="43">
        <f>B350*'analisi dei carichi'!E38</f>
        <v>1.95</v>
      </c>
      <c r="D350" s="43">
        <f>B350*'analisi dei carichi'!H38</f>
        <v>2.5350000000000001</v>
      </c>
      <c r="E350" s="43">
        <f>B350*'analisi dei carichi'!K38</f>
        <v>2.91</v>
      </c>
      <c r="F350" s="46">
        <f>B350*'analisi dei carichi'!N38</f>
        <v>1.95</v>
      </c>
      <c r="K350" s="46"/>
      <c r="P350" s="46"/>
      <c r="U350" s="46"/>
    </row>
    <row r="351" spans="1:95" x14ac:dyDescent="0.25">
      <c r="A351" s="91" t="s">
        <v>77</v>
      </c>
      <c r="F351" s="46"/>
      <c r="K351" s="46"/>
      <c r="P351" s="46"/>
      <c r="U351" s="46"/>
    </row>
    <row r="352" spans="1:95" x14ac:dyDescent="0.25">
      <c r="A352" s="91" t="s">
        <v>78</v>
      </c>
      <c r="B352" s="43">
        <v>1</v>
      </c>
      <c r="C352" s="43">
        <f>B352*'analisi dei carichi'!E37</f>
        <v>2.9550000000000001</v>
      </c>
      <c r="D352" s="43">
        <f>B352*'analisi dei carichi'!H37</f>
        <v>3.8415000000000004</v>
      </c>
      <c r="E352" s="43">
        <f>B352*'analisi dei carichi'!K37</f>
        <v>3.8415000000000004</v>
      </c>
      <c r="F352" s="46">
        <f>B352*'analisi dei carichi'!N37</f>
        <v>2.9550000000000001</v>
      </c>
      <c r="G352" s="43">
        <f t="shared" ref="G352:L352" si="184">B352</f>
        <v>1</v>
      </c>
      <c r="H352" s="43">
        <f t="shared" si="184"/>
        <v>2.9550000000000001</v>
      </c>
      <c r="I352" s="43">
        <f t="shared" si="184"/>
        <v>3.8415000000000004</v>
      </c>
      <c r="J352" s="43">
        <f t="shared" si="184"/>
        <v>3.8415000000000004</v>
      </c>
      <c r="K352" s="43">
        <f t="shared" si="184"/>
        <v>2.9550000000000001</v>
      </c>
      <c r="L352" s="43">
        <f t="shared" si="184"/>
        <v>1</v>
      </c>
      <c r="M352" s="43">
        <f>L352*'analisi dei carichi'!E30</f>
        <v>3.7050000000000001</v>
      </c>
      <c r="N352" s="43">
        <f>L352*'analisi dei carichi'!H30</f>
        <v>4.8165000000000004</v>
      </c>
      <c r="O352" s="43">
        <f>L352*'analisi dei carichi'!K30</f>
        <v>4.8165000000000004</v>
      </c>
      <c r="P352" s="46">
        <f>L352*'analisi dei carichi'!N30</f>
        <v>3.7050000000000001</v>
      </c>
      <c r="Q352" s="43">
        <f>L352</f>
        <v>1</v>
      </c>
      <c r="R352" s="43">
        <f>M352</f>
        <v>3.7050000000000001</v>
      </c>
      <c r="S352" s="43">
        <f>N352</f>
        <v>4.8165000000000004</v>
      </c>
      <c r="T352" s="43">
        <f>O352</f>
        <v>4.8165000000000004</v>
      </c>
      <c r="U352" s="43">
        <f>P352</f>
        <v>3.7050000000000001</v>
      </c>
    </row>
    <row r="353" spans="1:21" x14ac:dyDescent="0.25">
      <c r="A353" s="91" t="s">
        <v>79</v>
      </c>
      <c r="F353" s="46"/>
      <c r="K353" s="46"/>
      <c r="P353" s="46"/>
      <c r="U353" s="46"/>
    </row>
    <row r="354" spans="1:21" x14ac:dyDescent="0.25">
      <c r="A354" s="91" t="s">
        <v>80</v>
      </c>
      <c r="B354" s="48"/>
      <c r="C354" s="48"/>
      <c r="D354" s="48"/>
      <c r="E354" s="48"/>
      <c r="F354" s="49"/>
      <c r="G354" s="48">
        <v>1</v>
      </c>
      <c r="H354" s="48">
        <f>G354*'analisi dei carichi'!E29</f>
        <v>5.7200000000000006</v>
      </c>
      <c r="I354" s="48">
        <f>G354*'analisi dei carichi'!H29</f>
        <v>7.4360000000000008</v>
      </c>
      <c r="J354" s="48">
        <f>G354*'analisi dei carichi'!K29</f>
        <v>7.4360000000000008</v>
      </c>
      <c r="K354" s="49">
        <f>G354*'analisi dei carichi'!N29</f>
        <v>5.7200000000000006</v>
      </c>
      <c r="L354" s="48">
        <f>G354</f>
        <v>1</v>
      </c>
      <c r="M354" s="48">
        <f t="shared" ref="M354:U354" si="185">H354</f>
        <v>5.7200000000000006</v>
      </c>
      <c r="N354" s="48">
        <f t="shared" si="185"/>
        <v>7.4360000000000008</v>
      </c>
      <c r="O354" s="48">
        <f t="shared" si="185"/>
        <v>7.4360000000000008</v>
      </c>
      <c r="P354" s="48">
        <f t="shared" si="185"/>
        <v>5.7200000000000006</v>
      </c>
      <c r="Q354" s="48">
        <f t="shared" si="185"/>
        <v>1</v>
      </c>
      <c r="R354" s="48">
        <f t="shared" si="185"/>
        <v>5.7200000000000006</v>
      </c>
      <c r="S354" s="48">
        <f t="shared" si="185"/>
        <v>7.4360000000000008</v>
      </c>
      <c r="T354" s="48">
        <f t="shared" si="185"/>
        <v>7.4360000000000008</v>
      </c>
      <c r="U354" s="48">
        <f t="shared" si="185"/>
        <v>5.7200000000000006</v>
      </c>
    </row>
    <row r="355" spans="1:21" x14ac:dyDescent="0.25">
      <c r="A355" s="91" t="s">
        <v>55</v>
      </c>
      <c r="C355" s="43">
        <f>SUM(C349:C354)</f>
        <v>14.756399999999996</v>
      </c>
      <c r="D355" s="43">
        <f>SUM(D349:D354)</f>
        <v>19.183319999999998</v>
      </c>
      <c r="E355" s="43">
        <f>SUM(E349:E354)</f>
        <v>26.578319999999998</v>
      </c>
      <c r="F355" s="43">
        <f>SUM(F349:F354)</f>
        <v>16.160399999999996</v>
      </c>
      <c r="H355" s="43">
        <f>SUM(H349:H354)</f>
        <v>20.739103999999998</v>
      </c>
      <c r="I355" s="43">
        <f>SUM(I349:I354)</f>
        <v>27.522435199999997</v>
      </c>
      <c r="J355" s="43">
        <f>SUM(J349:J354)</f>
        <v>34.5424352</v>
      </c>
      <c r="K355" s="43">
        <f>SUM(K349:K354)</f>
        <v>22.143104000000001</v>
      </c>
      <c r="M355" s="43">
        <f>SUM(M349:M354)</f>
        <v>21.489103999999998</v>
      </c>
      <c r="N355" s="43">
        <f>SUM(N349:N354)</f>
        <v>28.497435199999998</v>
      </c>
      <c r="O355" s="43">
        <f>SUM(O349:O354)</f>
        <v>35.517435200000001</v>
      </c>
      <c r="P355" s="43">
        <f>SUM(P349:P354)</f>
        <v>22.893104000000001</v>
      </c>
      <c r="R355" s="43">
        <f>SUM(R349:R354)</f>
        <v>21.489103999999998</v>
      </c>
      <c r="S355" s="43">
        <f>SUM(S349:S354)</f>
        <v>28.497435199999998</v>
      </c>
      <c r="T355" s="43">
        <f>SUM(T349:T354)</f>
        <v>35.517435200000001</v>
      </c>
      <c r="U355" s="43">
        <f>SUM(U349:U354)</f>
        <v>22.893104000000001</v>
      </c>
    </row>
    <row r="357" spans="1:21" x14ac:dyDescent="0.25">
      <c r="B357" s="57" t="s">
        <v>76</v>
      </c>
      <c r="C357" s="43" t="s">
        <v>93</v>
      </c>
      <c r="H357" s="43" t="s">
        <v>93</v>
      </c>
      <c r="L357" s="43" t="s">
        <v>93</v>
      </c>
      <c r="Q357" s="43" t="s">
        <v>93</v>
      </c>
    </row>
    <row r="358" spans="1:21" x14ac:dyDescent="0.25">
      <c r="B358" s="50" t="s">
        <v>152</v>
      </c>
      <c r="C358" s="44">
        <v>6</v>
      </c>
      <c r="H358" s="43" t="s">
        <v>95</v>
      </c>
      <c r="L358" s="43" t="s">
        <v>96</v>
      </c>
      <c r="Q358" s="44">
        <v>1</v>
      </c>
    </row>
    <row r="359" spans="1:21" x14ac:dyDescent="0.25">
      <c r="B359" s="47" t="s">
        <v>51</v>
      </c>
      <c r="C359" s="47" t="s">
        <v>37</v>
      </c>
      <c r="D359" s="47" t="s">
        <v>39</v>
      </c>
      <c r="E359" s="47" t="s">
        <v>92</v>
      </c>
      <c r="F359" s="58" t="s">
        <v>91</v>
      </c>
      <c r="G359" s="47" t="s">
        <v>51</v>
      </c>
      <c r="H359" s="47" t="s">
        <v>37</v>
      </c>
      <c r="I359" s="47" t="s">
        <v>39</v>
      </c>
      <c r="J359" s="47" t="s">
        <v>92</v>
      </c>
      <c r="K359" s="58" t="s">
        <v>91</v>
      </c>
      <c r="L359" s="47" t="s">
        <v>51</v>
      </c>
      <c r="M359" s="47" t="s">
        <v>37</v>
      </c>
      <c r="N359" s="47" t="s">
        <v>39</v>
      </c>
      <c r="O359" s="47" t="s">
        <v>92</v>
      </c>
      <c r="P359" s="58" t="s">
        <v>91</v>
      </c>
      <c r="Q359" s="47" t="s">
        <v>51</v>
      </c>
      <c r="R359" s="47" t="s">
        <v>37</v>
      </c>
      <c r="S359" s="47" t="s">
        <v>39</v>
      </c>
      <c r="T359" s="47" t="s">
        <v>92</v>
      </c>
      <c r="U359" s="58" t="s">
        <v>91</v>
      </c>
    </row>
    <row r="360" spans="1:21" x14ac:dyDescent="0.25">
      <c r="A360" s="91" t="s">
        <v>56</v>
      </c>
      <c r="B360" s="43">
        <f t="shared" ref="B360:F361" si="186">B349</f>
        <v>2.34</v>
      </c>
      <c r="C360" s="43">
        <f t="shared" si="186"/>
        <v>9.8513999999999964</v>
      </c>
      <c r="D360" s="43">
        <f t="shared" si="186"/>
        <v>12.806819999999997</v>
      </c>
      <c r="E360" s="43">
        <f t="shared" si="186"/>
        <v>19.826819999999998</v>
      </c>
      <c r="F360" s="43">
        <f t="shared" si="186"/>
        <v>11.255399999999996</v>
      </c>
      <c r="G360" s="43">
        <f t="shared" ref="G360:U360" si="187">G349</f>
        <v>2.34</v>
      </c>
      <c r="H360" s="43">
        <f t="shared" si="187"/>
        <v>12.064103999999999</v>
      </c>
      <c r="I360" s="43">
        <f t="shared" si="187"/>
        <v>16.244935199999997</v>
      </c>
      <c r="J360" s="43">
        <f t="shared" si="187"/>
        <v>23.2649352</v>
      </c>
      <c r="K360" s="43">
        <f t="shared" si="187"/>
        <v>13.468103999999999</v>
      </c>
      <c r="L360" s="43">
        <f>L349</f>
        <v>2.34</v>
      </c>
      <c r="M360" s="43">
        <f t="shared" si="187"/>
        <v>12.064103999999999</v>
      </c>
      <c r="N360" s="43">
        <f t="shared" si="187"/>
        <v>16.244935199999997</v>
      </c>
      <c r="O360" s="43">
        <f t="shared" si="187"/>
        <v>23.2649352</v>
      </c>
      <c r="P360" s="43">
        <f t="shared" si="187"/>
        <v>13.468103999999999</v>
      </c>
      <c r="Q360" s="43">
        <f t="shared" si="187"/>
        <v>2.34</v>
      </c>
      <c r="R360" s="43">
        <f t="shared" si="187"/>
        <v>12.064103999999999</v>
      </c>
      <c r="S360" s="43">
        <f t="shared" si="187"/>
        <v>16.244935199999997</v>
      </c>
      <c r="T360" s="43">
        <f t="shared" si="187"/>
        <v>23.2649352</v>
      </c>
      <c r="U360" s="43">
        <f t="shared" si="187"/>
        <v>13.468103999999999</v>
      </c>
    </row>
    <row r="361" spans="1:21" x14ac:dyDescent="0.25">
      <c r="A361" s="88" t="s">
        <v>340</v>
      </c>
      <c r="B361" s="43">
        <f t="shared" si="186"/>
        <v>0.5</v>
      </c>
      <c r="C361" s="43">
        <f t="shared" si="186"/>
        <v>1.95</v>
      </c>
      <c r="D361" s="43">
        <f t="shared" si="186"/>
        <v>2.5350000000000001</v>
      </c>
      <c r="E361" s="43">
        <f t="shared" si="186"/>
        <v>2.91</v>
      </c>
      <c r="F361" s="43">
        <f t="shared" si="186"/>
        <v>1.95</v>
      </c>
      <c r="K361" s="46"/>
      <c r="P361" s="46"/>
      <c r="U361" s="46"/>
    </row>
    <row r="362" spans="1:21" x14ac:dyDescent="0.25">
      <c r="A362" s="91" t="s">
        <v>77</v>
      </c>
      <c r="F362" s="46"/>
      <c r="K362" s="46"/>
      <c r="P362" s="46"/>
      <c r="U362" s="46"/>
    </row>
    <row r="363" spans="1:21" x14ac:dyDescent="0.25">
      <c r="A363" s="91" t="s">
        <v>78</v>
      </c>
      <c r="B363" s="43">
        <f>B352</f>
        <v>1</v>
      </c>
      <c r="C363" s="43">
        <f t="shared" ref="C363:U363" si="188">C352</f>
        <v>2.9550000000000001</v>
      </c>
      <c r="D363" s="43">
        <f t="shared" si="188"/>
        <v>3.8415000000000004</v>
      </c>
      <c r="E363" s="43">
        <f t="shared" si="188"/>
        <v>3.8415000000000004</v>
      </c>
      <c r="F363" s="43">
        <f t="shared" si="188"/>
        <v>2.9550000000000001</v>
      </c>
      <c r="G363" s="43">
        <f t="shared" si="188"/>
        <v>1</v>
      </c>
      <c r="H363" s="43">
        <f t="shared" si="188"/>
        <v>2.9550000000000001</v>
      </c>
      <c r="I363" s="43">
        <f t="shared" si="188"/>
        <v>3.8415000000000004</v>
      </c>
      <c r="J363" s="43">
        <f t="shared" si="188"/>
        <v>3.8415000000000004</v>
      </c>
      <c r="K363" s="43">
        <f t="shared" si="188"/>
        <v>2.9550000000000001</v>
      </c>
      <c r="L363" s="43">
        <f t="shared" si="188"/>
        <v>1</v>
      </c>
      <c r="M363" s="43">
        <f t="shared" si="188"/>
        <v>3.7050000000000001</v>
      </c>
      <c r="N363" s="43">
        <f t="shared" si="188"/>
        <v>4.8165000000000004</v>
      </c>
      <c r="O363" s="43">
        <f t="shared" si="188"/>
        <v>4.8165000000000004</v>
      </c>
      <c r="P363" s="43">
        <f t="shared" si="188"/>
        <v>3.7050000000000001</v>
      </c>
      <c r="Q363" s="43">
        <f t="shared" si="188"/>
        <v>1</v>
      </c>
      <c r="R363" s="43">
        <f t="shared" si="188"/>
        <v>3.7050000000000001</v>
      </c>
      <c r="S363" s="43">
        <f t="shared" si="188"/>
        <v>4.8165000000000004</v>
      </c>
      <c r="T363" s="43">
        <f t="shared" si="188"/>
        <v>4.8165000000000004</v>
      </c>
      <c r="U363" s="43">
        <f t="shared" si="188"/>
        <v>3.7050000000000001</v>
      </c>
    </row>
    <row r="364" spans="1:21" x14ac:dyDescent="0.25">
      <c r="A364" s="91" t="s">
        <v>79</v>
      </c>
      <c r="F364" s="46"/>
      <c r="K364" s="46"/>
      <c r="P364" s="46"/>
      <c r="U364" s="46"/>
    </row>
    <row r="365" spans="1:21" x14ac:dyDescent="0.25">
      <c r="A365" s="91" t="s">
        <v>80</v>
      </c>
      <c r="B365" s="48"/>
      <c r="C365" s="48"/>
      <c r="D365" s="48"/>
      <c r="E365" s="48"/>
      <c r="F365" s="49"/>
      <c r="G365" s="48">
        <v>0.9</v>
      </c>
      <c r="H365" s="48">
        <f>G365*'analisi dei carichi'!E29</f>
        <v>5.1480000000000006</v>
      </c>
      <c r="I365" s="48">
        <f>G365*'analisi dei carichi'!H29</f>
        <v>6.692400000000001</v>
      </c>
      <c r="J365" s="48">
        <f>G365*'analisi dei carichi'!K29</f>
        <v>6.692400000000001</v>
      </c>
      <c r="K365" s="49">
        <f>G365*'analisi dei carichi'!N29</f>
        <v>5.1480000000000006</v>
      </c>
      <c r="L365" s="48">
        <f>G365</f>
        <v>0.9</v>
      </c>
      <c r="M365" s="48">
        <f t="shared" ref="M365:U365" si="189">H365</f>
        <v>5.1480000000000006</v>
      </c>
      <c r="N365" s="48">
        <f t="shared" si="189"/>
        <v>6.692400000000001</v>
      </c>
      <c r="O365" s="48">
        <f t="shared" si="189"/>
        <v>6.692400000000001</v>
      </c>
      <c r="P365" s="48">
        <f t="shared" si="189"/>
        <v>5.1480000000000006</v>
      </c>
      <c r="Q365" s="48">
        <f t="shared" si="189"/>
        <v>0.9</v>
      </c>
      <c r="R365" s="48">
        <f t="shared" si="189"/>
        <v>5.1480000000000006</v>
      </c>
      <c r="S365" s="48">
        <f t="shared" si="189"/>
        <v>6.692400000000001</v>
      </c>
      <c r="T365" s="48">
        <f t="shared" si="189"/>
        <v>6.692400000000001</v>
      </c>
      <c r="U365" s="48">
        <f t="shared" si="189"/>
        <v>5.1480000000000006</v>
      </c>
    </row>
    <row r="366" spans="1:21" x14ac:dyDescent="0.25">
      <c r="A366" s="91" t="s">
        <v>55</v>
      </c>
      <c r="C366" s="43">
        <f>SUM(C360:C365)</f>
        <v>14.756399999999996</v>
      </c>
      <c r="D366" s="43">
        <f>SUM(D360:D365)</f>
        <v>19.183319999999998</v>
      </c>
      <c r="E366" s="43">
        <f>SUM(E360:E365)</f>
        <v>26.578319999999998</v>
      </c>
      <c r="F366" s="43">
        <f>SUM(F360:F365)</f>
        <v>16.160399999999996</v>
      </c>
      <c r="H366" s="43">
        <f>SUM(H360:H365)</f>
        <v>20.167103999999998</v>
      </c>
      <c r="I366" s="43">
        <f>SUM(I360:I365)</f>
        <v>26.778835199999996</v>
      </c>
      <c r="J366" s="43">
        <f>SUM(J360:J365)</f>
        <v>33.798835199999999</v>
      </c>
      <c r="K366" s="43">
        <f>SUM(K360:K365)</f>
        <v>21.571103999999998</v>
      </c>
      <c r="M366" s="43">
        <f>SUM(M360:M365)</f>
        <v>20.917103999999998</v>
      </c>
      <c r="N366" s="43">
        <f>SUM(N360:N365)</f>
        <v>27.753835199999997</v>
      </c>
      <c r="O366" s="43">
        <f>SUM(O360:O365)</f>
        <v>34.773835200000001</v>
      </c>
      <c r="P366" s="43">
        <f>SUM(P360:P365)</f>
        <v>22.321103999999998</v>
      </c>
      <c r="R366" s="43">
        <f>SUM(R360:R365)</f>
        <v>20.917103999999998</v>
      </c>
      <c r="S366" s="43">
        <f>SUM(S360:S365)</f>
        <v>27.753835199999997</v>
      </c>
      <c r="T366" s="43">
        <f>SUM(T360:T365)</f>
        <v>34.773835200000001</v>
      </c>
      <c r="U366" s="43">
        <f>SUM(U360:U365)</f>
        <v>22.321103999999998</v>
      </c>
    </row>
    <row r="369" spans="2:2" x14ac:dyDescent="0.25">
      <c r="B369" s="57"/>
    </row>
    <row r="371" spans="2:2" x14ac:dyDescent="0.25">
      <c r="B371" s="57"/>
    </row>
    <row r="373" spans="2:2" x14ac:dyDescent="0.25">
      <c r="B373" s="57"/>
    </row>
    <row r="375" spans="2:2" x14ac:dyDescent="0.25">
      <c r="B375" s="57"/>
    </row>
    <row r="377" spans="2:2" x14ac:dyDescent="0.25">
      <c r="B377" s="57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workbookViewId="0">
      <pane ySplit="2" topLeftCell="A3" activePane="bottomLeft" state="frozen"/>
      <selection pane="bottomLeft" activeCell="E10" sqref="E10"/>
    </sheetView>
  </sheetViews>
  <sheetFormatPr defaultRowHeight="15" x14ac:dyDescent="0.25"/>
  <cols>
    <col min="1" max="21" width="9.140625" style="33"/>
  </cols>
  <sheetData>
    <row r="1" spans="1:20" x14ac:dyDescent="0.25">
      <c r="A1" s="77"/>
      <c r="B1" s="277" t="s">
        <v>167</v>
      </c>
      <c r="C1" s="278"/>
      <c r="D1" s="279" t="s">
        <v>168</v>
      </c>
      <c r="E1" s="278"/>
      <c r="F1" s="279" t="s">
        <v>169</v>
      </c>
      <c r="G1" s="280"/>
      <c r="J1" s="77"/>
      <c r="K1" s="279" t="s">
        <v>170</v>
      </c>
      <c r="L1" s="280"/>
      <c r="O1" s="77"/>
      <c r="P1" s="279" t="s">
        <v>171</v>
      </c>
      <c r="Q1" s="280"/>
      <c r="T1" s="77"/>
    </row>
    <row r="2" spans="1:20" x14ac:dyDescent="0.25">
      <c r="A2" s="77" t="s">
        <v>162</v>
      </c>
      <c r="B2" s="8" t="s">
        <v>163</v>
      </c>
      <c r="C2" s="77" t="s">
        <v>164</v>
      </c>
      <c r="D2" s="78" t="s">
        <v>165</v>
      </c>
      <c r="E2" s="77" t="s">
        <v>166</v>
      </c>
      <c r="J2" s="77"/>
      <c r="O2" s="77"/>
      <c r="T2" s="77"/>
    </row>
    <row r="3" spans="1:20" x14ac:dyDescent="0.25">
      <c r="A3" s="77">
        <v>1</v>
      </c>
      <c r="B3" s="8"/>
      <c r="C3" s="77">
        <v>3.45</v>
      </c>
      <c r="D3" s="78"/>
      <c r="E3" s="77">
        <v>5.46</v>
      </c>
      <c r="J3" s="77"/>
      <c r="O3" s="77"/>
      <c r="T3" s="77"/>
    </row>
    <row r="4" spans="1:20" x14ac:dyDescent="0.25">
      <c r="A4" s="77">
        <v>2</v>
      </c>
      <c r="B4" s="8"/>
      <c r="C4" s="77">
        <v>3.75</v>
      </c>
      <c r="D4" s="78">
        <v>5.46</v>
      </c>
      <c r="E4" s="77">
        <v>3.64</v>
      </c>
      <c r="J4" s="77"/>
      <c r="O4" s="77"/>
      <c r="T4" s="77"/>
    </row>
    <row r="5" spans="1:20" x14ac:dyDescent="0.25">
      <c r="A5" s="77">
        <v>3</v>
      </c>
      <c r="B5" s="8"/>
      <c r="C5" s="77">
        <v>3.65</v>
      </c>
      <c r="D5" s="78">
        <v>3.64</v>
      </c>
      <c r="E5" s="77"/>
      <c r="J5" s="77"/>
      <c r="O5" s="77"/>
      <c r="T5" s="77"/>
    </row>
    <row r="6" spans="1:20" x14ac:dyDescent="0.25">
      <c r="A6" s="77">
        <v>4</v>
      </c>
      <c r="B6" s="8"/>
      <c r="C6" s="77">
        <v>4.5</v>
      </c>
      <c r="D6" s="78"/>
      <c r="E6" s="77">
        <v>2.1</v>
      </c>
      <c r="J6" s="77"/>
      <c r="O6" s="77"/>
      <c r="T6" s="77"/>
    </row>
    <row r="7" spans="1:20" x14ac:dyDescent="0.25">
      <c r="A7" s="77">
        <v>5</v>
      </c>
      <c r="B7" s="8">
        <v>3.45</v>
      </c>
      <c r="C7" s="77"/>
      <c r="D7" s="78">
        <f>E6</f>
        <v>2.1</v>
      </c>
      <c r="E7" s="77">
        <f>D4</f>
        <v>5.46</v>
      </c>
      <c r="J7" s="77"/>
      <c r="O7" s="77"/>
      <c r="T7" s="77"/>
    </row>
    <row r="8" spans="1:20" x14ac:dyDescent="0.25">
      <c r="A8" s="77">
        <v>6</v>
      </c>
      <c r="B8" s="8">
        <f>C4</f>
        <v>3.75</v>
      </c>
      <c r="C8" s="77">
        <v>5</v>
      </c>
      <c r="D8" s="78">
        <f>D4</f>
        <v>5.46</v>
      </c>
      <c r="E8" s="77">
        <f>E4</f>
        <v>3.64</v>
      </c>
      <c r="J8" s="77"/>
      <c r="O8" s="77"/>
      <c r="T8" s="77"/>
    </row>
    <row r="9" spans="1:20" x14ac:dyDescent="0.25">
      <c r="A9" s="77">
        <v>7</v>
      </c>
      <c r="B9" s="8">
        <f>C5</f>
        <v>3.65</v>
      </c>
      <c r="C9" s="77">
        <v>4.9000000000000004</v>
      </c>
      <c r="D9" s="78">
        <f>D5</f>
        <v>3.64</v>
      </c>
      <c r="E9" s="77"/>
      <c r="J9" s="77"/>
      <c r="O9" s="77"/>
      <c r="T9" s="77"/>
    </row>
    <row r="10" spans="1:20" x14ac:dyDescent="0.25">
      <c r="A10" s="77">
        <v>8</v>
      </c>
      <c r="B10" s="8">
        <v>4.5</v>
      </c>
      <c r="C10" s="77">
        <v>4.3</v>
      </c>
      <c r="D10" s="78"/>
      <c r="E10" s="77">
        <v>3.4</v>
      </c>
      <c r="J10" s="77"/>
      <c r="O10" s="77"/>
      <c r="T10" s="77"/>
    </row>
    <row r="11" spans="1:20" x14ac:dyDescent="0.25">
      <c r="A11" s="77">
        <v>9</v>
      </c>
      <c r="B11" s="8">
        <v>5.0999999999999996</v>
      </c>
      <c r="C11" s="77">
        <v>4.0999999999999996</v>
      </c>
      <c r="D11" s="78">
        <v>3.4</v>
      </c>
      <c r="E11" s="77">
        <v>4.0999999999999996</v>
      </c>
      <c r="J11" s="77"/>
      <c r="O11" s="77"/>
      <c r="T11" s="77"/>
    </row>
    <row r="12" spans="1:20" x14ac:dyDescent="0.25">
      <c r="A12" s="77">
        <v>10</v>
      </c>
      <c r="B12" s="8">
        <v>5</v>
      </c>
      <c r="C12" s="77">
        <v>4.0999999999999996</v>
      </c>
      <c r="D12" s="78">
        <f>E11</f>
        <v>4.0999999999999996</v>
      </c>
      <c r="E12" s="77">
        <v>3.5</v>
      </c>
      <c r="J12" s="77"/>
      <c r="O12" s="77"/>
      <c r="T12" s="77"/>
    </row>
    <row r="13" spans="1:20" x14ac:dyDescent="0.25">
      <c r="A13" s="77">
        <v>11</v>
      </c>
      <c r="B13" s="8">
        <f>B11</f>
        <v>5.0999999999999996</v>
      </c>
      <c r="C13" s="77">
        <f>C12</f>
        <v>4.0999999999999996</v>
      </c>
      <c r="D13" s="78">
        <f>E12</f>
        <v>3.5</v>
      </c>
      <c r="E13" s="77"/>
      <c r="J13" s="77"/>
      <c r="O13" s="77"/>
      <c r="T13" s="77"/>
    </row>
    <row r="14" spans="1:20" x14ac:dyDescent="0.25">
      <c r="A14" s="77">
        <v>12</v>
      </c>
      <c r="B14" s="8"/>
      <c r="C14" s="77"/>
      <c r="D14" s="78"/>
      <c r="E14" s="77"/>
      <c r="J14" s="77"/>
      <c r="O14" s="77"/>
      <c r="T14" s="77"/>
    </row>
    <row r="15" spans="1:20" x14ac:dyDescent="0.25">
      <c r="A15" s="77">
        <v>13</v>
      </c>
      <c r="B15" s="8">
        <f>C10</f>
        <v>4.3</v>
      </c>
      <c r="C15" s="77">
        <v>4.2</v>
      </c>
      <c r="D15" s="78">
        <f>E10</f>
        <v>3.4</v>
      </c>
      <c r="E15" s="77">
        <v>5.18</v>
      </c>
      <c r="J15" s="77"/>
      <c r="O15" s="77"/>
      <c r="T15" s="77"/>
    </row>
    <row r="16" spans="1:20" x14ac:dyDescent="0.25">
      <c r="A16" s="77">
        <v>14</v>
      </c>
      <c r="B16" s="8">
        <v>4</v>
      </c>
      <c r="C16" s="77">
        <v>4.29</v>
      </c>
      <c r="D16" s="78">
        <f>E15</f>
        <v>5.18</v>
      </c>
      <c r="E16" s="77">
        <v>4.72</v>
      </c>
      <c r="J16" s="77"/>
      <c r="O16" s="77"/>
      <c r="T16" s="77"/>
    </row>
    <row r="17" spans="1:20" x14ac:dyDescent="0.25">
      <c r="A17" s="77">
        <v>15</v>
      </c>
      <c r="B17" s="8"/>
      <c r="C17" s="77">
        <v>4.5</v>
      </c>
      <c r="D17" s="78">
        <f>E16</f>
        <v>4.72</v>
      </c>
      <c r="E17" s="77"/>
      <c r="J17" s="77"/>
      <c r="O17" s="77"/>
      <c r="T17" s="77"/>
    </row>
    <row r="18" spans="1:20" x14ac:dyDescent="0.25">
      <c r="A18" s="77">
        <v>16</v>
      </c>
      <c r="B18" s="8"/>
      <c r="C18" s="77"/>
      <c r="D18" s="78"/>
      <c r="E18" s="77"/>
      <c r="J18" s="77"/>
      <c r="O18" s="77"/>
      <c r="T18" s="77"/>
    </row>
    <row r="19" spans="1:20" x14ac:dyDescent="0.25">
      <c r="A19" s="77">
        <v>17</v>
      </c>
      <c r="B19" s="8">
        <f>C15</f>
        <v>4.2</v>
      </c>
      <c r="C19" s="77">
        <v>4.45</v>
      </c>
      <c r="D19" s="78">
        <f>D13</f>
        <v>3.5</v>
      </c>
      <c r="E19" s="77">
        <v>5.19</v>
      </c>
      <c r="J19" s="77"/>
      <c r="O19" s="77"/>
      <c r="T19" s="77"/>
    </row>
    <row r="20" spans="1:20" x14ac:dyDescent="0.25">
      <c r="A20" s="77">
        <v>18</v>
      </c>
      <c r="B20" s="8">
        <f>C16</f>
        <v>4.29</v>
      </c>
      <c r="C20" s="77">
        <f>C19</f>
        <v>4.45</v>
      </c>
      <c r="D20" s="78">
        <f>E19</f>
        <v>5.19</v>
      </c>
      <c r="E20" s="77">
        <f>E16</f>
        <v>4.72</v>
      </c>
      <c r="J20" s="77"/>
      <c r="O20" s="77"/>
      <c r="T20" s="77"/>
    </row>
    <row r="21" spans="1:20" x14ac:dyDescent="0.25">
      <c r="A21" s="77">
        <v>19</v>
      </c>
      <c r="B21" s="8">
        <v>4.5</v>
      </c>
      <c r="C21" s="77">
        <v>4.4800000000000004</v>
      </c>
      <c r="D21" s="78">
        <f>E20</f>
        <v>4.72</v>
      </c>
      <c r="E21" s="77"/>
      <c r="J21" s="77"/>
      <c r="O21" s="77"/>
      <c r="T21" s="77"/>
    </row>
    <row r="22" spans="1:20" x14ac:dyDescent="0.25">
      <c r="A22" s="77">
        <v>20</v>
      </c>
      <c r="B22" s="8">
        <v>4.6500000000000004</v>
      </c>
      <c r="C22" s="77">
        <v>4.25</v>
      </c>
      <c r="D22" s="78"/>
      <c r="E22" s="77">
        <v>3.65</v>
      </c>
      <c r="J22" s="77"/>
      <c r="O22" s="77"/>
      <c r="T22" s="77"/>
    </row>
    <row r="23" spans="1:20" x14ac:dyDescent="0.25">
      <c r="A23" s="77">
        <v>21</v>
      </c>
      <c r="B23" s="8">
        <f>C19</f>
        <v>4.45</v>
      </c>
      <c r="C23" s="77">
        <v>4.6500000000000004</v>
      </c>
      <c r="D23" s="78">
        <f>E22</f>
        <v>3.65</v>
      </c>
      <c r="E23" s="77">
        <v>5.2</v>
      </c>
      <c r="J23" s="77"/>
      <c r="O23" s="77"/>
      <c r="T23" s="77"/>
    </row>
    <row r="24" spans="1:20" x14ac:dyDescent="0.25">
      <c r="A24" s="77">
        <v>22</v>
      </c>
      <c r="B24" s="8">
        <f>B23</f>
        <v>4.45</v>
      </c>
      <c r="C24" s="77">
        <f>C23</f>
        <v>4.6500000000000004</v>
      </c>
      <c r="D24" s="78">
        <f>E23</f>
        <v>5.2</v>
      </c>
      <c r="E24" s="77">
        <f>C20</f>
        <v>4.45</v>
      </c>
      <c r="J24" s="77"/>
      <c r="O24" s="77"/>
      <c r="T24" s="77"/>
    </row>
    <row r="25" spans="1:20" x14ac:dyDescent="0.25">
      <c r="A25" s="77">
        <v>23</v>
      </c>
      <c r="B25" s="8">
        <f>C21</f>
        <v>4.4800000000000004</v>
      </c>
      <c r="C25" s="77">
        <v>4.25</v>
      </c>
      <c r="D25" s="78">
        <f>E24</f>
        <v>4.45</v>
      </c>
      <c r="E25" s="77"/>
      <c r="J25" s="77"/>
      <c r="O25" s="77"/>
      <c r="T25" s="77"/>
    </row>
    <row r="26" spans="1:20" x14ac:dyDescent="0.25">
      <c r="A26" s="77">
        <v>24</v>
      </c>
      <c r="B26" s="8">
        <f>C22</f>
        <v>4.25</v>
      </c>
      <c r="C26" s="77"/>
      <c r="D26" s="78"/>
      <c r="E26" s="77">
        <f>E22</f>
        <v>3.65</v>
      </c>
      <c r="J26" s="77"/>
      <c r="O26" s="77"/>
      <c r="T26" s="77"/>
    </row>
    <row r="27" spans="1:20" x14ac:dyDescent="0.25">
      <c r="A27" s="77">
        <v>25</v>
      </c>
      <c r="B27" s="8">
        <f>C23</f>
        <v>4.6500000000000004</v>
      </c>
      <c r="C27" s="77"/>
      <c r="D27" s="78">
        <f>E26</f>
        <v>3.65</v>
      </c>
      <c r="E27" s="77">
        <v>5</v>
      </c>
      <c r="J27" s="77"/>
      <c r="O27" s="77"/>
      <c r="T27" s="77"/>
    </row>
    <row r="28" spans="1:20" x14ac:dyDescent="0.25">
      <c r="A28" s="77">
        <v>26</v>
      </c>
      <c r="B28" s="8">
        <f>B27</f>
        <v>4.6500000000000004</v>
      </c>
      <c r="C28" s="77"/>
      <c r="D28" s="78">
        <f>E27</f>
        <v>5</v>
      </c>
      <c r="E28" s="77">
        <f>E24</f>
        <v>4.45</v>
      </c>
      <c r="J28" s="77"/>
      <c r="O28" s="77"/>
      <c r="T28" s="77"/>
    </row>
    <row r="29" spans="1:20" x14ac:dyDescent="0.25">
      <c r="A29" s="77">
        <v>27</v>
      </c>
      <c r="B29" s="8">
        <f>C25</f>
        <v>4.25</v>
      </c>
      <c r="C29" s="77"/>
      <c r="D29" s="78">
        <f>E28</f>
        <v>4.45</v>
      </c>
      <c r="E29" s="77"/>
      <c r="J29" s="77"/>
      <c r="O29" s="77"/>
      <c r="T29" s="77"/>
    </row>
  </sheetData>
  <mergeCells count="5">
    <mergeCell ref="B1:C1"/>
    <mergeCell ref="D1:E1"/>
    <mergeCell ref="F1:G1"/>
    <mergeCell ref="K1:L1"/>
    <mergeCell ref="P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L18" sqref="L18"/>
    </sheetView>
  </sheetViews>
  <sheetFormatPr defaultRowHeight="15" x14ac:dyDescent="0.25"/>
  <cols>
    <col min="1" max="2" width="9.140625" style="86"/>
    <col min="3" max="3" width="10.85546875" style="86" customWidth="1"/>
    <col min="4" max="4" width="11.5703125" style="86" customWidth="1"/>
    <col min="5" max="11" width="9.140625" style="86"/>
  </cols>
  <sheetData>
    <row r="1" spans="1:6" x14ac:dyDescent="0.25">
      <c r="A1" s="225" t="s">
        <v>201</v>
      </c>
      <c r="B1" s="225" t="s">
        <v>203</v>
      </c>
      <c r="C1" s="225" t="s">
        <v>204</v>
      </c>
      <c r="D1" s="225" t="s">
        <v>205</v>
      </c>
      <c r="E1" s="225" t="s">
        <v>206</v>
      </c>
      <c r="F1" s="225" t="s">
        <v>403</v>
      </c>
    </row>
    <row r="2" spans="1:6" x14ac:dyDescent="0.25">
      <c r="A2" s="226" t="s">
        <v>202</v>
      </c>
      <c r="B2" s="227">
        <f t="shared" ref="B2:B7" si="0">C2/9.81</f>
        <v>347.15442931702341</v>
      </c>
      <c r="C2" s="227">
        <f>'analisi dei carichi'!F69+'analisi dei carichi'!G61</f>
        <v>3405.5849515999998</v>
      </c>
      <c r="D2" s="227">
        <f>'[1]masse e forze'!$F$7</f>
        <v>385.65000000000003</v>
      </c>
      <c r="E2" s="227">
        <f t="shared" ref="E2:E7" si="1">C2/D2</f>
        <v>8.8307661133151818</v>
      </c>
      <c r="F2" s="226">
        <v>8.6999999999999993</v>
      </c>
    </row>
    <row r="3" spans="1:6" x14ac:dyDescent="0.25">
      <c r="A3" s="226">
        <v>5</v>
      </c>
      <c r="B3" s="227">
        <f t="shared" si="0"/>
        <v>331.27134385321096</v>
      </c>
      <c r="C3" s="227">
        <f>'analisi dei carichi'!L62</f>
        <v>3249.7718831999996</v>
      </c>
      <c r="D3" s="226">
        <f>'[1]masse e forze'!$B$4</f>
        <v>312.8</v>
      </c>
      <c r="E3" s="227">
        <f t="shared" si="1"/>
        <v>10.38929630179028</v>
      </c>
      <c r="F3" s="226">
        <v>8.4</v>
      </c>
    </row>
    <row r="4" spans="1:6" x14ac:dyDescent="0.25">
      <c r="A4" s="226">
        <v>4</v>
      </c>
      <c r="B4" s="227">
        <f t="shared" si="0"/>
        <v>338.64290348623854</v>
      </c>
      <c r="C4" s="227">
        <f>'analisi dei carichi'!P62</f>
        <v>3322.0868832000001</v>
      </c>
      <c r="D4" s="226">
        <f>'[1]masse e forze'!$B$4</f>
        <v>312.8</v>
      </c>
      <c r="E4" s="227">
        <f t="shared" si="1"/>
        <v>10.620482363171355</v>
      </c>
      <c r="F4" s="226">
        <v>8.4</v>
      </c>
    </row>
    <row r="5" spans="1:6" x14ac:dyDescent="0.25">
      <c r="A5" s="226">
        <v>3</v>
      </c>
      <c r="B5" s="227">
        <f t="shared" si="0"/>
        <v>338.64290348623854</v>
      </c>
      <c r="C5" s="227">
        <f>'analisi dei carichi'!P62</f>
        <v>3322.0868832000001</v>
      </c>
      <c r="D5" s="226">
        <f>'[1]masse e forze'!$B$4</f>
        <v>312.8</v>
      </c>
      <c r="E5" s="227">
        <f t="shared" si="1"/>
        <v>10.620482363171355</v>
      </c>
      <c r="F5" s="226">
        <v>8.4</v>
      </c>
    </row>
    <row r="6" spans="1:6" x14ac:dyDescent="0.25">
      <c r="A6" s="226">
        <v>2</v>
      </c>
      <c r="B6" s="227">
        <f t="shared" si="0"/>
        <v>338.64290348623854</v>
      </c>
      <c r="C6" s="227">
        <f>'analisi dei carichi'!P62</f>
        <v>3322.0868832000001</v>
      </c>
      <c r="D6" s="226">
        <f>'[1]masse e forze'!$B$4</f>
        <v>312.8</v>
      </c>
      <c r="E6" s="227">
        <f t="shared" si="1"/>
        <v>10.620482363171355</v>
      </c>
      <c r="F6" s="226">
        <v>8.4</v>
      </c>
    </row>
    <row r="7" spans="1:6" x14ac:dyDescent="0.25">
      <c r="A7" s="226">
        <v>1</v>
      </c>
      <c r="B7" s="227">
        <f t="shared" si="0"/>
        <v>342.10238360856266</v>
      </c>
      <c r="C7" s="227">
        <f>'analisi dei carichi'!T62</f>
        <v>3356.0243832000001</v>
      </c>
      <c r="D7" s="226">
        <f>'[1]masse e forze'!$B$5</f>
        <v>312.8</v>
      </c>
      <c r="E7" s="227">
        <f t="shared" si="1"/>
        <v>10.728978207161125</v>
      </c>
      <c r="F7" s="226">
        <v>8.4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="80" zoomScaleNormal="80" workbookViewId="0">
      <selection activeCell="M25" sqref="M25"/>
    </sheetView>
  </sheetViews>
  <sheetFormatPr defaultRowHeight="15" x14ac:dyDescent="0.25"/>
  <cols>
    <col min="1" max="1" width="14.42578125" style="169" customWidth="1"/>
    <col min="2" max="2" width="21.5703125" style="169" customWidth="1"/>
    <col min="3" max="3" width="15.28515625" style="169" customWidth="1"/>
    <col min="4" max="4" width="16.7109375" style="169" customWidth="1"/>
    <col min="5" max="5" width="9.28515625" style="169" bestFit="1" customWidth="1"/>
    <col min="6" max="6" width="9.140625" style="169"/>
    <col min="7" max="7" width="11.85546875" style="169" customWidth="1"/>
    <col min="8" max="8" width="9.28515625" style="169" bestFit="1" customWidth="1"/>
    <col min="9" max="9" width="9.5703125" style="169" bestFit="1" customWidth="1"/>
    <col min="10" max="11" width="9.28515625" style="169" bestFit="1" customWidth="1"/>
    <col min="12" max="12" width="9.140625" style="169"/>
    <col min="13" max="13" width="10.5703125" style="169" customWidth="1"/>
    <col min="14" max="20" width="9.140625" style="169"/>
  </cols>
  <sheetData>
    <row r="1" spans="1:18" x14ac:dyDescent="0.25">
      <c r="B1" s="169" t="s">
        <v>207</v>
      </c>
    </row>
    <row r="2" spans="1:18" x14ac:dyDescent="0.25">
      <c r="A2" s="169" t="s">
        <v>208</v>
      </c>
      <c r="B2" s="169">
        <f>'[1]masse e forze'!B2</f>
        <v>39.6</v>
      </c>
    </row>
    <row r="3" spans="1:18" x14ac:dyDescent="0.25">
      <c r="A3" s="169" t="s">
        <v>209</v>
      </c>
      <c r="B3" s="169">
        <f>'[1]masse e forze'!B3</f>
        <v>346.05</v>
      </c>
    </row>
    <row r="4" spans="1:18" x14ac:dyDescent="0.25">
      <c r="A4" s="169" t="s">
        <v>210</v>
      </c>
      <c r="B4" s="169">
        <f>'[1]masse e forze'!B4</f>
        <v>312.8</v>
      </c>
    </row>
    <row r="5" spans="1:18" x14ac:dyDescent="0.25">
      <c r="A5" s="169" t="s">
        <v>211</v>
      </c>
      <c r="B5" s="169">
        <f>'[1]masse e forze'!B5</f>
        <v>312.8</v>
      </c>
    </row>
    <row r="7" spans="1:18" x14ac:dyDescent="0.25">
      <c r="A7" s="169" t="s">
        <v>212</v>
      </c>
      <c r="E7" s="169" t="s">
        <v>213</v>
      </c>
      <c r="F7" s="169">
        <f>B2+B3</f>
        <v>385.65000000000003</v>
      </c>
    </row>
    <row r="9" spans="1:18" x14ac:dyDescent="0.25">
      <c r="A9" s="169" t="s">
        <v>214</v>
      </c>
      <c r="B9" s="169" t="s">
        <v>215</v>
      </c>
      <c r="C9" s="169" t="s">
        <v>216</v>
      </c>
      <c r="D9" s="169" t="s">
        <v>217</v>
      </c>
      <c r="E9" s="169" t="s">
        <v>218</v>
      </c>
      <c r="G9" s="169" t="s">
        <v>214</v>
      </c>
      <c r="H9" s="169" t="s">
        <v>219</v>
      </c>
      <c r="I9" s="169" t="s">
        <v>220</v>
      </c>
      <c r="J9" s="164" t="s">
        <v>341</v>
      </c>
      <c r="K9" s="169" t="s">
        <v>221</v>
      </c>
      <c r="M9" s="169" t="s">
        <v>214</v>
      </c>
      <c r="N9" s="169" t="s">
        <v>222</v>
      </c>
      <c r="O9" s="169" t="s">
        <v>223</v>
      </c>
      <c r="P9" s="169" t="s">
        <v>224</v>
      </c>
      <c r="Q9" s="169" t="s">
        <v>225</v>
      </c>
      <c r="R9" s="169" t="s">
        <v>226</v>
      </c>
    </row>
    <row r="10" spans="1:18" x14ac:dyDescent="0.25">
      <c r="A10" s="169" t="s">
        <v>202</v>
      </c>
      <c r="B10" s="85">
        <f>F7</f>
        <v>385.65000000000003</v>
      </c>
      <c r="C10" s="85">
        <f>'masse di piano '!E2</f>
        <v>8.8307661133151818</v>
      </c>
      <c r="D10" s="85">
        <f>'masse di piano '!C2</f>
        <v>3405.5849515999998</v>
      </c>
      <c r="E10" s="85">
        <f t="shared" ref="E10:E15" si="0">D10/9.81</f>
        <v>347.15442931702341</v>
      </c>
      <c r="F10" s="85"/>
      <c r="G10" s="85" t="s">
        <v>202</v>
      </c>
      <c r="H10" s="85">
        <f>H11+$B$22</f>
        <v>19.7</v>
      </c>
      <c r="I10" s="85">
        <f t="shared" ref="I10:I15" si="1">D10*H10</f>
        <v>67090.023546519995</v>
      </c>
      <c r="J10" s="165">
        <f t="shared" ref="J10:J15" si="2">(I10/$I$16)*$B$23</f>
        <v>415.14292660684248</v>
      </c>
      <c r="K10" s="85">
        <f>J10</f>
        <v>415.14292660684248</v>
      </c>
      <c r="M10" s="169" t="s">
        <v>202</v>
      </c>
      <c r="N10" s="169">
        <f>$B$22</f>
        <v>3.2</v>
      </c>
      <c r="O10" s="85">
        <f t="shared" ref="O10:O15" si="3">K10/12</f>
        <v>34.595243883903542</v>
      </c>
      <c r="P10" s="85">
        <f>0.4*O10*N10</f>
        <v>44.281912171396542</v>
      </c>
      <c r="Q10" s="85">
        <f>P10/2</f>
        <v>22.140956085698271</v>
      </c>
      <c r="R10" s="85">
        <f>2*(Q10/B24)</f>
        <v>8.5157523406531812</v>
      </c>
    </row>
    <row r="11" spans="1:18" x14ac:dyDescent="0.25">
      <c r="A11" s="169">
        <v>5</v>
      </c>
      <c r="B11" s="85">
        <f>$B$4</f>
        <v>312.8</v>
      </c>
      <c r="C11" s="85">
        <f>'masse di piano '!E3</f>
        <v>10.38929630179028</v>
      </c>
      <c r="D11" s="85">
        <f>'masse di piano '!C3</f>
        <v>3249.7718831999996</v>
      </c>
      <c r="E11" s="85">
        <f t="shared" si="0"/>
        <v>331.27134385321096</v>
      </c>
      <c r="F11" s="85"/>
      <c r="G11" s="85">
        <v>5</v>
      </c>
      <c r="H11" s="85">
        <f>H12+$B$22</f>
        <v>16.5</v>
      </c>
      <c r="I11" s="85">
        <f t="shared" si="1"/>
        <v>53621.236072799991</v>
      </c>
      <c r="J11" s="165">
        <f t="shared" si="2"/>
        <v>331.80010521390324</v>
      </c>
      <c r="K11" s="85">
        <f>K10+J11</f>
        <v>746.94303182074577</v>
      </c>
      <c r="M11" s="169">
        <v>5</v>
      </c>
      <c r="N11" s="169">
        <f>$B$22</f>
        <v>3.2</v>
      </c>
      <c r="O11" s="85">
        <f t="shared" si="3"/>
        <v>62.245252651728812</v>
      </c>
      <c r="P11" s="85">
        <f>0.5*O11*N11</f>
        <v>99.592404242766108</v>
      </c>
      <c r="Q11" s="85">
        <f>(P10+P11)/2</f>
        <v>71.937158207081325</v>
      </c>
      <c r="R11" s="85">
        <f>((Q10+Q11)/$B$24)*2</f>
        <v>36.183890112607536</v>
      </c>
    </row>
    <row r="12" spans="1:18" x14ac:dyDescent="0.25">
      <c r="A12" s="169">
        <v>4</v>
      </c>
      <c r="B12" s="85">
        <f>$B$4</f>
        <v>312.8</v>
      </c>
      <c r="C12" s="85">
        <f>'masse di piano '!E4</f>
        <v>10.620482363171355</v>
      </c>
      <c r="D12" s="85">
        <f>'masse di piano '!C4</f>
        <v>3322.0868832000001</v>
      </c>
      <c r="E12" s="85">
        <f t="shared" si="0"/>
        <v>338.64290348623854</v>
      </c>
      <c r="F12" s="85"/>
      <c r="G12" s="85">
        <v>4</v>
      </c>
      <c r="H12" s="85">
        <f>H13+$B$22</f>
        <v>13.3</v>
      </c>
      <c r="I12" s="85">
        <f t="shared" si="1"/>
        <v>44183.755546560002</v>
      </c>
      <c r="J12" s="165">
        <f t="shared" si="2"/>
        <v>273.40240197354456</v>
      </c>
      <c r="K12" s="85">
        <f>K11+J12</f>
        <v>1020.3454337942903</v>
      </c>
      <c r="M12" s="169">
        <v>4</v>
      </c>
      <c r="N12" s="169">
        <f>$B$22</f>
        <v>3.2</v>
      </c>
      <c r="O12" s="85">
        <f t="shared" si="3"/>
        <v>85.028786149524194</v>
      </c>
      <c r="P12" s="85">
        <f>0.5*O12*N12</f>
        <v>136.04605783923873</v>
      </c>
      <c r="Q12" s="85">
        <f>(P11+P12)/2</f>
        <v>117.81923104100241</v>
      </c>
      <c r="R12" s="85">
        <f>((Q11+Q12)/$B$24)*2</f>
        <v>72.98322663387836</v>
      </c>
    </row>
    <row r="13" spans="1:18" x14ac:dyDescent="0.25">
      <c r="A13" s="169">
        <v>3</v>
      </c>
      <c r="B13" s="85">
        <f>$B$4</f>
        <v>312.8</v>
      </c>
      <c r="C13" s="85">
        <f>'masse di piano '!E5</f>
        <v>10.620482363171355</v>
      </c>
      <c r="D13" s="85">
        <f>'masse di piano '!C5</f>
        <v>3322.0868832000001</v>
      </c>
      <c r="E13" s="85">
        <f t="shared" si="0"/>
        <v>338.64290348623854</v>
      </c>
      <c r="F13" s="85"/>
      <c r="G13" s="85">
        <v>3</v>
      </c>
      <c r="H13" s="85">
        <f>H14+$B$22</f>
        <v>10.100000000000001</v>
      </c>
      <c r="I13" s="85">
        <f t="shared" si="1"/>
        <v>33553.077520320003</v>
      </c>
      <c r="J13" s="165">
        <f t="shared" si="2"/>
        <v>207.62137292727823</v>
      </c>
      <c r="K13" s="85">
        <f>K12+J13</f>
        <v>1227.9668067215684</v>
      </c>
      <c r="M13" s="169">
        <v>3</v>
      </c>
      <c r="N13" s="169">
        <f>$B$22</f>
        <v>3.2</v>
      </c>
      <c r="O13" s="85">
        <f t="shared" si="3"/>
        <v>102.33056722679737</v>
      </c>
      <c r="P13" s="85">
        <f>0.5*O13*N13</f>
        <v>163.7289075628758</v>
      </c>
      <c r="Q13" s="85">
        <f>(P12+P13)/2</f>
        <v>149.88748270105725</v>
      </c>
      <c r="R13" s="85">
        <f>((Q12+Q13)/$B$24)*2</f>
        <v>102.96412067002295</v>
      </c>
    </row>
    <row r="14" spans="1:18" x14ac:dyDescent="0.25">
      <c r="A14" s="169">
        <v>2</v>
      </c>
      <c r="B14" s="85">
        <f>$B$4</f>
        <v>312.8</v>
      </c>
      <c r="C14" s="85">
        <f>'masse di piano '!E6</f>
        <v>10.620482363171355</v>
      </c>
      <c r="D14" s="85">
        <f>'masse di piano '!C6</f>
        <v>3322.0868832000001</v>
      </c>
      <c r="E14" s="85">
        <f t="shared" si="0"/>
        <v>338.64290348623854</v>
      </c>
      <c r="F14" s="85"/>
      <c r="G14" s="85">
        <v>2</v>
      </c>
      <c r="H14" s="85">
        <f>H15+$B$22</f>
        <v>6.9</v>
      </c>
      <c r="I14" s="85">
        <f t="shared" si="1"/>
        <v>22922.39949408</v>
      </c>
      <c r="J14" s="165">
        <f t="shared" si="2"/>
        <v>141.84034388101185</v>
      </c>
      <c r="K14" s="85">
        <f>K13+J14</f>
        <v>1369.8071506025804</v>
      </c>
      <c r="M14" s="169">
        <v>2</v>
      </c>
      <c r="N14" s="169">
        <f>$B$22</f>
        <v>3.2</v>
      </c>
      <c r="O14" s="85">
        <f t="shared" si="3"/>
        <v>114.15059588354836</v>
      </c>
      <c r="P14" s="85">
        <f>0.5*O14*N14</f>
        <v>182.64095341367738</v>
      </c>
      <c r="Q14" s="85">
        <f>(P13+P14)/2</f>
        <v>173.18493048827659</v>
      </c>
      <c r="R14" s="85">
        <f>((Q13+Q14)/$B$24)*2</f>
        <v>124.25862045743608</v>
      </c>
    </row>
    <row r="15" spans="1:18" x14ac:dyDescent="0.25">
      <c r="A15" s="169">
        <v>1</v>
      </c>
      <c r="B15" s="85">
        <f>B5</f>
        <v>312.8</v>
      </c>
      <c r="C15" s="85">
        <f>'masse di piano '!E7</f>
        <v>10.728978207161125</v>
      </c>
      <c r="D15" s="85">
        <f>'masse di piano '!C7</f>
        <v>3356.0243832000001</v>
      </c>
      <c r="E15" s="85">
        <f t="shared" si="0"/>
        <v>342.10238360856266</v>
      </c>
      <c r="F15" s="85"/>
      <c r="G15" s="85">
        <v>1</v>
      </c>
      <c r="H15" s="85">
        <f>D22</f>
        <v>3.7</v>
      </c>
      <c r="I15" s="85">
        <f t="shared" si="1"/>
        <v>12417.290217840002</v>
      </c>
      <c r="J15" s="165">
        <f t="shared" si="2"/>
        <v>76.836315282945009</v>
      </c>
      <c r="K15" s="85">
        <f>K14+J15</f>
        <v>1446.6434658855253</v>
      </c>
      <c r="M15" s="169" t="s">
        <v>227</v>
      </c>
      <c r="N15" s="169">
        <f>$B$22+0.5</f>
        <v>3.7</v>
      </c>
      <c r="O15" s="85">
        <f t="shared" si="3"/>
        <v>120.55362215712711</v>
      </c>
      <c r="P15" s="85">
        <f>O15*N15*0.4</f>
        <v>178.41936079254813</v>
      </c>
      <c r="Q15" s="85">
        <f>(P14+P15)/2</f>
        <v>180.53015710311274</v>
      </c>
      <c r="R15" s="85">
        <f>((Q14+Q15)/$B$24)*2</f>
        <v>136.04426445822665</v>
      </c>
    </row>
    <row r="16" spans="1:18" x14ac:dyDescent="0.25">
      <c r="A16" s="169" t="s">
        <v>228</v>
      </c>
      <c r="B16" s="85"/>
      <c r="C16" s="85"/>
      <c r="D16" s="85">
        <f>SUM(D10:D15)</f>
        <v>19977.641867599999</v>
      </c>
      <c r="E16" s="85">
        <f>SUM(E10:E15)</f>
        <v>2036.4568672375126</v>
      </c>
      <c r="F16" s="85"/>
      <c r="G16" s="85" t="s">
        <v>228</v>
      </c>
      <c r="H16" s="85"/>
      <c r="I16" s="85">
        <f>SUM(I10:I15)</f>
        <v>233787.78239811998</v>
      </c>
      <c r="J16" s="85"/>
      <c r="K16" s="85"/>
      <c r="M16" s="169" t="s">
        <v>229</v>
      </c>
      <c r="O16" s="85"/>
      <c r="P16" s="85">
        <f>0.6*N15*O15</f>
        <v>267.62904118882221</v>
      </c>
      <c r="Q16" s="85"/>
      <c r="R16" s="85"/>
    </row>
    <row r="19" spans="1:7" x14ac:dyDescent="0.25">
      <c r="A19" s="169" t="s">
        <v>230</v>
      </c>
      <c r="B19" s="169">
        <v>7.4999999999999997E-2</v>
      </c>
    </row>
    <row r="20" spans="1:7" x14ac:dyDescent="0.25">
      <c r="A20" s="169" t="s">
        <v>231</v>
      </c>
      <c r="B20" s="169">
        <f>(3.2*5)+3.7</f>
        <v>19.7</v>
      </c>
      <c r="C20" s="169" t="s">
        <v>232</v>
      </c>
    </row>
    <row r="21" spans="1:7" x14ac:dyDescent="0.25">
      <c r="A21" s="169" t="s">
        <v>286</v>
      </c>
      <c r="B21" s="169">
        <f>[2]Dati!$B$28</f>
        <v>0.79396810039451493</v>
      </c>
    </row>
    <row r="22" spans="1:7" x14ac:dyDescent="0.25">
      <c r="A22" s="169" t="s">
        <v>234</v>
      </c>
      <c r="B22" s="169">
        <v>3.2</v>
      </c>
      <c r="C22" s="169" t="s">
        <v>235</v>
      </c>
      <c r="D22" s="169">
        <f>3.7</f>
        <v>3.7</v>
      </c>
    </row>
    <row r="23" spans="1:7" x14ac:dyDescent="0.25">
      <c r="A23" s="169" t="s">
        <v>236</v>
      </c>
      <c r="B23" s="169">
        <f>0.85*D16*B28</f>
        <v>1446.6434658855253</v>
      </c>
    </row>
    <row r="24" spans="1:7" x14ac:dyDescent="0.25">
      <c r="A24" s="169" t="s">
        <v>237</v>
      </c>
      <c r="B24" s="169">
        <v>5.2</v>
      </c>
    </row>
    <row r="25" spans="1:7" x14ac:dyDescent="0.25">
      <c r="A25" s="169" t="s">
        <v>238</v>
      </c>
      <c r="B25" s="169">
        <v>27</v>
      </c>
    </row>
    <row r="26" spans="1:7" x14ac:dyDescent="0.25">
      <c r="A26" s="169" t="s">
        <v>239</v>
      </c>
      <c r="B26" s="169">
        <v>13</v>
      </c>
    </row>
    <row r="27" spans="1:7" x14ac:dyDescent="0.25">
      <c r="A27" s="169" t="s">
        <v>240</v>
      </c>
      <c r="B27" s="169">
        <v>12</v>
      </c>
      <c r="C27" s="169" t="s">
        <v>241</v>
      </c>
      <c r="E27" s="169">
        <v>12</v>
      </c>
    </row>
    <row r="28" spans="1:7" x14ac:dyDescent="0.25">
      <c r="A28" s="169" t="s">
        <v>242</v>
      </c>
      <c r="B28" s="169">
        <f>[3]Dati!$D$28</f>
        <v>8.5191911065204684E-2</v>
      </c>
      <c r="C28" s="169" t="s">
        <v>243</v>
      </c>
    </row>
    <row r="30" spans="1:7" x14ac:dyDescent="0.25">
      <c r="A30" s="169" t="s">
        <v>214</v>
      </c>
      <c r="B30" s="169" t="str">
        <f>J9</f>
        <v>Fx</v>
      </c>
      <c r="C30" s="164" t="s">
        <v>244</v>
      </c>
      <c r="D30" s="164" t="s">
        <v>245</v>
      </c>
      <c r="E30" s="164" t="s">
        <v>246</v>
      </c>
      <c r="F30" s="164"/>
    </row>
    <row r="31" spans="1:7" x14ac:dyDescent="0.25">
      <c r="A31" s="169" t="s">
        <v>202</v>
      </c>
      <c r="B31" s="85">
        <f t="shared" ref="B31:B36" si="4">J10</f>
        <v>415.14292660684248</v>
      </c>
      <c r="C31" s="165">
        <f t="shared" ref="C31:C36" si="5">0.05*26.45</f>
        <v>1.3225</v>
      </c>
      <c r="D31" s="164">
        <f t="shared" ref="D31:D36" si="6">0.05*13.6</f>
        <v>0.68</v>
      </c>
      <c r="E31" s="165">
        <f t="shared" ref="E31:E36" si="7">B31*D31</f>
        <v>282.2971900926529</v>
      </c>
      <c r="F31" s="165"/>
      <c r="G31" s="163" t="s">
        <v>285</v>
      </c>
    </row>
    <row r="32" spans="1:7" x14ac:dyDescent="0.25">
      <c r="A32" s="169">
        <v>5</v>
      </c>
      <c r="B32" s="85">
        <f t="shared" si="4"/>
        <v>331.80010521390324</v>
      </c>
      <c r="C32" s="165">
        <f t="shared" si="5"/>
        <v>1.3225</v>
      </c>
      <c r="D32" s="164">
        <f t="shared" si="6"/>
        <v>0.68</v>
      </c>
      <c r="E32" s="165">
        <f t="shared" si="7"/>
        <v>225.62407154545423</v>
      </c>
      <c r="F32" s="165"/>
    </row>
    <row r="33" spans="1:6" x14ac:dyDescent="0.25">
      <c r="A33" s="169">
        <v>4</v>
      </c>
      <c r="B33" s="85">
        <f t="shared" si="4"/>
        <v>273.40240197354456</v>
      </c>
      <c r="C33" s="165">
        <f t="shared" si="5"/>
        <v>1.3225</v>
      </c>
      <c r="D33" s="164">
        <f t="shared" si="6"/>
        <v>0.68</v>
      </c>
      <c r="E33" s="165">
        <f t="shared" si="7"/>
        <v>185.91363334201031</v>
      </c>
      <c r="F33" s="165"/>
    </row>
    <row r="34" spans="1:6" x14ac:dyDescent="0.25">
      <c r="A34" s="169">
        <v>3</v>
      </c>
      <c r="B34" s="85">
        <f t="shared" si="4"/>
        <v>207.62137292727823</v>
      </c>
      <c r="C34" s="165">
        <f t="shared" si="5"/>
        <v>1.3225</v>
      </c>
      <c r="D34" s="164">
        <f t="shared" si="6"/>
        <v>0.68</v>
      </c>
      <c r="E34" s="165">
        <f t="shared" si="7"/>
        <v>141.18253359054921</v>
      </c>
      <c r="F34" s="165"/>
    </row>
    <row r="35" spans="1:6" x14ac:dyDescent="0.25">
      <c r="A35" s="169">
        <v>2</v>
      </c>
      <c r="B35" s="85">
        <f t="shared" si="4"/>
        <v>141.84034388101185</v>
      </c>
      <c r="C35" s="165">
        <f t="shared" si="5"/>
        <v>1.3225</v>
      </c>
      <c r="D35" s="164">
        <f t="shared" si="6"/>
        <v>0.68</v>
      </c>
      <c r="E35" s="165">
        <f t="shared" si="7"/>
        <v>96.451433839088068</v>
      </c>
      <c r="F35" s="165"/>
    </row>
    <row r="36" spans="1:6" x14ac:dyDescent="0.25">
      <c r="A36" s="169">
        <v>1</v>
      </c>
      <c r="B36" s="85">
        <f t="shared" si="4"/>
        <v>76.836315282945009</v>
      </c>
      <c r="C36" s="165">
        <f t="shared" si="5"/>
        <v>1.3225</v>
      </c>
      <c r="D36" s="164">
        <f t="shared" si="6"/>
        <v>0.68</v>
      </c>
      <c r="E36" s="165">
        <f t="shared" si="7"/>
        <v>52.248694392402612</v>
      </c>
      <c r="F36" s="165"/>
    </row>
    <row r="38" spans="1:6" x14ac:dyDescent="0.25">
      <c r="A38" s="144"/>
      <c r="B38" s="85"/>
    </row>
    <row r="40" spans="1:6" x14ac:dyDescent="0.25">
      <c r="E40" s="201"/>
      <c r="F40" s="201"/>
    </row>
    <row r="41" spans="1:6" x14ac:dyDescent="0.25">
      <c r="E41" s="201"/>
      <c r="F41" s="201"/>
    </row>
    <row r="42" spans="1:6" x14ac:dyDescent="0.25">
      <c r="E42" s="201"/>
      <c r="F42" s="201"/>
    </row>
    <row r="43" spans="1:6" x14ac:dyDescent="0.25">
      <c r="B43" s="145"/>
      <c r="C43" s="43"/>
      <c r="D43" s="43"/>
      <c r="E43" s="201"/>
      <c r="F43" s="201"/>
    </row>
    <row r="44" spans="1:6" x14ac:dyDescent="0.25">
      <c r="B44" s="145"/>
      <c r="C44" s="43"/>
      <c r="D44" s="43"/>
      <c r="E44" s="201"/>
      <c r="F44" s="201"/>
    </row>
    <row r="45" spans="1:6" x14ac:dyDescent="0.25">
      <c r="B45" s="145"/>
      <c r="C45" s="43"/>
      <c r="D45" s="43"/>
      <c r="E45" s="201"/>
      <c r="F45" s="201"/>
    </row>
    <row r="46" spans="1:6" x14ac:dyDescent="0.25">
      <c r="B46" s="145"/>
      <c r="C46" s="43"/>
      <c r="D46" s="43"/>
      <c r="E46" s="201"/>
      <c r="F46" s="201"/>
    </row>
    <row r="47" spans="1:6" x14ac:dyDescent="0.25">
      <c r="B47" s="145"/>
      <c r="C47" s="43"/>
      <c r="D47" s="43"/>
      <c r="E47" s="201"/>
      <c r="F47" s="201"/>
    </row>
    <row r="48" spans="1:6" x14ac:dyDescent="0.25">
      <c r="B48" s="145"/>
      <c r="C48" s="43"/>
      <c r="D48" s="43"/>
      <c r="E48" s="201"/>
      <c r="F48" s="201"/>
    </row>
    <row r="49" spans="2:6" x14ac:dyDescent="0.25">
      <c r="E49" s="201"/>
      <c r="F49" s="201"/>
    </row>
    <row r="50" spans="2:6" x14ac:dyDescent="0.25">
      <c r="E50" s="201"/>
      <c r="F50" s="201"/>
    </row>
    <row r="51" spans="2:6" x14ac:dyDescent="0.25">
      <c r="E51" s="201"/>
      <c r="F51" s="201"/>
    </row>
    <row r="52" spans="2:6" x14ac:dyDescent="0.25">
      <c r="B52" s="85"/>
      <c r="C52" s="85"/>
      <c r="D52" s="85"/>
    </row>
    <row r="53" spans="2:6" x14ac:dyDescent="0.25">
      <c r="B53" s="85"/>
      <c r="C53" s="85"/>
      <c r="D53" s="85"/>
    </row>
    <row r="54" spans="2:6" x14ac:dyDescent="0.25">
      <c r="B54" s="85"/>
      <c r="C54" s="85"/>
      <c r="D54" s="85"/>
    </row>
    <row r="55" spans="2:6" x14ac:dyDescent="0.25">
      <c r="B55" s="85"/>
      <c r="C55" s="85"/>
      <c r="D55" s="85"/>
    </row>
    <row r="56" spans="2:6" x14ac:dyDescent="0.25">
      <c r="B56" s="85"/>
      <c r="C56" s="85"/>
      <c r="D56" s="85"/>
    </row>
    <row r="57" spans="2:6" x14ac:dyDescent="0.25">
      <c r="B57" s="85"/>
      <c r="C57" s="85"/>
      <c r="D57" s="85"/>
    </row>
    <row r="58" spans="2:6" x14ac:dyDescent="0.25">
      <c r="C58" s="85"/>
      <c r="D58" s="85"/>
    </row>
    <row r="59" spans="2:6" x14ac:dyDescent="0.25">
      <c r="B59" s="85"/>
      <c r="C59" s="85"/>
      <c r="D59" s="85"/>
    </row>
    <row r="60" spans="2:6" x14ac:dyDescent="0.25">
      <c r="B60" s="85"/>
      <c r="C60" s="85"/>
      <c r="D60" s="85"/>
    </row>
    <row r="61" spans="2:6" x14ac:dyDescent="0.25">
      <c r="B61" s="85"/>
      <c r="C61" s="85"/>
      <c r="D61" s="85"/>
    </row>
    <row r="62" spans="2:6" x14ac:dyDescent="0.25">
      <c r="B62" s="85"/>
      <c r="C62" s="85"/>
      <c r="D62" s="85"/>
    </row>
    <row r="63" spans="2:6" x14ac:dyDescent="0.25">
      <c r="B63" s="85"/>
      <c r="C63" s="85"/>
      <c r="D63" s="85"/>
    </row>
    <row r="64" spans="2:6" x14ac:dyDescent="0.25">
      <c r="B64" s="85"/>
      <c r="C64" s="85"/>
      <c r="D64" s="8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opLeftCell="A7" workbookViewId="0">
      <selection activeCell="G26" sqref="G26"/>
    </sheetView>
  </sheetViews>
  <sheetFormatPr defaultRowHeight="15" x14ac:dyDescent="0.25"/>
  <cols>
    <col min="1" max="1" width="13.5703125" style="169" customWidth="1"/>
    <col min="2" max="6" width="9.140625" style="169"/>
    <col min="7" max="7" width="12" style="169" customWidth="1"/>
    <col min="8" max="22" width="9.140625" style="169"/>
  </cols>
  <sheetData>
    <row r="1" spans="1:18" x14ac:dyDescent="0.25">
      <c r="B1" s="169" t="s">
        <v>207</v>
      </c>
    </row>
    <row r="2" spans="1:18" x14ac:dyDescent="0.25">
      <c r="A2" s="169" t="s">
        <v>208</v>
      </c>
      <c r="B2" s="169">
        <v>39.6</v>
      </c>
    </row>
    <row r="3" spans="1:18" x14ac:dyDescent="0.25">
      <c r="A3" s="169" t="s">
        <v>209</v>
      </c>
      <c r="B3" s="169">
        <v>326.16000000000003</v>
      </c>
    </row>
    <row r="4" spans="1:18" x14ac:dyDescent="0.25">
      <c r="A4" s="169" t="s">
        <v>210</v>
      </c>
      <c r="B4" s="169">
        <v>312.8</v>
      </c>
    </row>
    <row r="5" spans="1:18" x14ac:dyDescent="0.25">
      <c r="A5" s="169" t="s">
        <v>211</v>
      </c>
      <c r="B5" s="170">
        <v>312.8</v>
      </c>
    </row>
    <row r="7" spans="1:18" x14ac:dyDescent="0.25">
      <c r="A7" s="169" t="s">
        <v>212</v>
      </c>
      <c r="E7" s="169" t="s">
        <v>213</v>
      </c>
      <c r="F7" s="169">
        <f>B2+B3</f>
        <v>365.76000000000005</v>
      </c>
    </row>
    <row r="9" spans="1:18" x14ac:dyDescent="0.25">
      <c r="A9" s="169" t="s">
        <v>214</v>
      </c>
      <c r="B9" s="169" t="s">
        <v>215</v>
      </c>
      <c r="C9" s="169" t="s">
        <v>216</v>
      </c>
      <c r="D9" s="169" t="s">
        <v>217</v>
      </c>
      <c r="E9" s="169" t="s">
        <v>218</v>
      </c>
      <c r="G9" s="169" t="s">
        <v>214</v>
      </c>
      <c r="H9" s="169" t="s">
        <v>219</v>
      </c>
      <c r="I9" s="169" t="s">
        <v>220</v>
      </c>
      <c r="J9" s="164" t="s">
        <v>347</v>
      </c>
      <c r="K9" s="169" t="s">
        <v>221</v>
      </c>
      <c r="M9" s="169" t="s">
        <v>214</v>
      </c>
      <c r="N9" s="169" t="s">
        <v>222</v>
      </c>
      <c r="O9" s="169" t="s">
        <v>223</v>
      </c>
      <c r="P9" s="169" t="s">
        <v>224</v>
      </c>
      <c r="Q9" s="169" t="s">
        <v>225</v>
      </c>
      <c r="R9" s="169" t="s">
        <v>226</v>
      </c>
    </row>
    <row r="10" spans="1:18" x14ac:dyDescent="0.25">
      <c r="A10" s="169" t="s">
        <v>202</v>
      </c>
      <c r="B10" s="169">
        <f>F7</f>
        <v>365.76000000000005</v>
      </c>
      <c r="C10" s="169">
        <f>'masse di piano '!E2</f>
        <v>8.8307661133151818</v>
      </c>
      <c r="D10" s="169">
        <f>'masse di piano '!C2</f>
        <v>3405.5849515999998</v>
      </c>
      <c r="E10" s="169">
        <f t="shared" ref="E10:E15" si="0">D10/9.81</f>
        <v>347.15442931702341</v>
      </c>
      <c r="G10" s="169" t="s">
        <v>202</v>
      </c>
      <c r="H10" s="169">
        <f>H11+$B$22</f>
        <v>19.7</v>
      </c>
      <c r="I10" s="169">
        <f t="shared" ref="I10:I15" si="1">D10*H10</f>
        <v>67090.023546519995</v>
      </c>
      <c r="J10" s="165">
        <f t="shared" ref="J10:J15" si="2">(I10/$I$16)*$B$23</f>
        <v>476.53603869058878</v>
      </c>
      <c r="K10" s="169">
        <f>J10</f>
        <v>476.53603869058878</v>
      </c>
      <c r="M10" s="169" t="s">
        <v>202</v>
      </c>
      <c r="N10" s="169">
        <f>$B$22</f>
        <v>3.2</v>
      </c>
      <c r="O10" s="169">
        <f>K10/12</f>
        <v>39.711336557549068</v>
      </c>
      <c r="P10" s="85">
        <f>0.4*O10*N10</f>
        <v>50.83051079366281</v>
      </c>
      <c r="Q10" s="169">
        <f>P10/2</f>
        <v>25.415255396831405</v>
      </c>
      <c r="R10" s="169">
        <f>2*(Q10/B24)</f>
        <v>9.7750982295505402</v>
      </c>
    </row>
    <row r="11" spans="1:18" x14ac:dyDescent="0.25">
      <c r="A11" s="169">
        <v>5</v>
      </c>
      <c r="B11" s="169">
        <f>$B$4</f>
        <v>312.8</v>
      </c>
      <c r="C11" s="169">
        <f>'masse di piano '!E3</f>
        <v>10.38929630179028</v>
      </c>
      <c r="D11" s="169">
        <f>'masse di piano '!C3</f>
        <v>3249.7718831999996</v>
      </c>
      <c r="E11" s="169">
        <f t="shared" si="0"/>
        <v>331.27134385321096</v>
      </c>
      <c r="G11" s="169">
        <v>5</v>
      </c>
      <c r="H11" s="169">
        <f>H12+$B$22</f>
        <v>16.5</v>
      </c>
      <c r="I11" s="169">
        <f t="shared" si="1"/>
        <v>53621.236072799991</v>
      </c>
      <c r="J11" s="165">
        <f t="shared" si="2"/>
        <v>380.8681243062469</v>
      </c>
      <c r="K11" s="169">
        <f>K10+J11</f>
        <v>857.40416299683568</v>
      </c>
      <c r="M11" s="169">
        <v>5</v>
      </c>
      <c r="N11" s="169">
        <f t="shared" ref="N11:N14" si="3">$B$22</f>
        <v>3.2</v>
      </c>
      <c r="O11" s="169">
        <f t="shared" ref="O11:O15" si="4">K11/12</f>
        <v>71.450346916402978</v>
      </c>
      <c r="P11" s="85">
        <f t="shared" ref="P11:P14" si="5">0.5*O11*N11</f>
        <v>114.32055506624476</v>
      </c>
      <c r="Q11" s="169">
        <f>(P10+P11)/2</f>
        <v>82.575532929953795</v>
      </c>
      <c r="R11" s="169">
        <f>((Q10+Q11)/$B$24)*2</f>
        <v>41.534918587225079</v>
      </c>
    </row>
    <row r="12" spans="1:18" x14ac:dyDescent="0.25">
      <c r="A12" s="169">
        <v>4</v>
      </c>
      <c r="B12" s="169">
        <f>$B$4</f>
        <v>312.8</v>
      </c>
      <c r="C12" s="169">
        <f>'masse di piano '!E4</f>
        <v>10.620482363171355</v>
      </c>
      <c r="D12" s="169">
        <f>'masse di piano '!C4</f>
        <v>3322.0868832000001</v>
      </c>
      <c r="E12" s="169">
        <f t="shared" si="0"/>
        <v>338.64290348623854</v>
      </c>
      <c r="G12" s="169">
        <v>4</v>
      </c>
      <c r="H12" s="169">
        <f>H13+$B$22</f>
        <v>13.3</v>
      </c>
      <c r="I12" s="169">
        <f t="shared" si="1"/>
        <v>44183.755546560002</v>
      </c>
      <c r="J12" s="165">
        <f t="shared" si="2"/>
        <v>313.83431886905606</v>
      </c>
      <c r="K12" s="169">
        <f>K11+J12</f>
        <v>1171.2384818658918</v>
      </c>
      <c r="M12" s="169">
        <v>4</v>
      </c>
      <c r="N12" s="169">
        <f t="shared" si="3"/>
        <v>3.2</v>
      </c>
      <c r="O12" s="169">
        <f t="shared" si="4"/>
        <v>97.603206822157645</v>
      </c>
      <c r="P12" s="85">
        <f t="shared" si="5"/>
        <v>156.16513091545224</v>
      </c>
      <c r="Q12" s="169">
        <f t="shared" ref="Q12:Q15" si="6">(P11+P12)/2</f>
        <v>135.24284299084849</v>
      </c>
      <c r="R12" s="169">
        <f t="shared" ref="R12:R15" si="7">((Q11+Q12)/$B$24)*2</f>
        <v>83.776298431077791</v>
      </c>
    </row>
    <row r="13" spans="1:18" x14ac:dyDescent="0.25">
      <c r="A13" s="169">
        <v>3</v>
      </c>
      <c r="B13" s="169">
        <f>$B$4</f>
        <v>312.8</v>
      </c>
      <c r="C13" s="169">
        <f>'masse di piano '!E5</f>
        <v>10.620482363171355</v>
      </c>
      <c r="D13" s="169">
        <f>'masse di piano '!C5</f>
        <v>3322.0868832000001</v>
      </c>
      <c r="E13" s="169">
        <f t="shared" si="0"/>
        <v>338.64290348623854</v>
      </c>
      <c r="G13" s="169">
        <v>3</v>
      </c>
      <c r="H13" s="169">
        <f>H14+$B$22</f>
        <v>10.100000000000001</v>
      </c>
      <c r="I13" s="169">
        <f t="shared" si="1"/>
        <v>33553.077520320003</v>
      </c>
      <c r="J13" s="165">
        <f t="shared" si="2"/>
        <v>238.32530981785462</v>
      </c>
      <c r="K13" s="169">
        <f>K12+J13</f>
        <v>1409.5637916837463</v>
      </c>
      <c r="M13" s="169">
        <v>3</v>
      </c>
      <c r="N13" s="169">
        <f t="shared" si="3"/>
        <v>3.2</v>
      </c>
      <c r="O13" s="169">
        <f t="shared" si="4"/>
        <v>117.46364930697887</v>
      </c>
      <c r="P13" s="85">
        <f t="shared" si="5"/>
        <v>187.94183889116619</v>
      </c>
      <c r="Q13" s="169">
        <f t="shared" si="6"/>
        <v>172.0534849033092</v>
      </c>
      <c r="R13" s="169">
        <f t="shared" si="7"/>
        <v>118.1908953439068</v>
      </c>
    </row>
    <row r="14" spans="1:18" x14ac:dyDescent="0.25">
      <c r="A14" s="169">
        <v>2</v>
      </c>
      <c r="B14" s="169">
        <f>$B$4</f>
        <v>312.8</v>
      </c>
      <c r="C14" s="169">
        <f>'masse di piano '!E6</f>
        <v>10.620482363171355</v>
      </c>
      <c r="D14" s="169">
        <f>'masse di piano '!C6</f>
        <v>3322.0868832000001</v>
      </c>
      <c r="E14" s="169">
        <f t="shared" si="0"/>
        <v>338.64290348623854</v>
      </c>
      <c r="G14" s="169">
        <v>2</v>
      </c>
      <c r="H14" s="169">
        <f>H15+$B$22</f>
        <v>6.9</v>
      </c>
      <c r="I14" s="169">
        <f t="shared" si="1"/>
        <v>22922.39949408</v>
      </c>
      <c r="J14" s="165">
        <f t="shared" si="2"/>
        <v>162.81630076665314</v>
      </c>
      <c r="K14" s="169">
        <f>K13+J14</f>
        <v>1572.3800924503994</v>
      </c>
      <c r="M14" s="169">
        <v>2</v>
      </c>
      <c r="N14" s="169">
        <f t="shared" si="3"/>
        <v>3.2</v>
      </c>
      <c r="O14" s="169">
        <f t="shared" si="4"/>
        <v>131.03167437086663</v>
      </c>
      <c r="P14" s="85">
        <f t="shared" si="5"/>
        <v>209.65067899338661</v>
      </c>
      <c r="Q14" s="169">
        <f t="shared" si="6"/>
        <v>198.79625894227638</v>
      </c>
      <c r="R14" s="169">
        <f t="shared" si="7"/>
        <v>142.63451686368677</v>
      </c>
    </row>
    <row r="15" spans="1:18" x14ac:dyDescent="0.25">
      <c r="A15" s="169">
        <v>1</v>
      </c>
      <c r="B15" s="169">
        <f>B5</f>
        <v>312.8</v>
      </c>
      <c r="C15" s="169">
        <f>'masse di piano '!E7</f>
        <v>10.728978207161125</v>
      </c>
      <c r="D15" s="169">
        <f>'masse di piano '!C7</f>
        <v>3356.0243832000001</v>
      </c>
      <c r="E15" s="169">
        <f t="shared" si="0"/>
        <v>342.10238360856266</v>
      </c>
      <c r="G15" s="169">
        <v>1</v>
      </c>
      <c r="H15" s="169">
        <f>D22</f>
        <v>3.7</v>
      </c>
      <c r="I15" s="169">
        <f t="shared" si="1"/>
        <v>12417.290217840002</v>
      </c>
      <c r="J15" s="165">
        <f t="shared" si="2"/>
        <v>88.19919831415541</v>
      </c>
      <c r="K15" s="169">
        <f>K14+J15</f>
        <v>1660.5792907645548</v>
      </c>
      <c r="M15" s="169" t="s">
        <v>227</v>
      </c>
      <c r="N15" s="169">
        <f>$B$22+0.5</f>
        <v>3.7</v>
      </c>
      <c r="O15" s="169">
        <f t="shared" si="4"/>
        <v>138.38160756371289</v>
      </c>
      <c r="P15" s="85">
        <f>O15*N15*0.4</f>
        <v>204.80477919429509</v>
      </c>
      <c r="Q15" s="169">
        <f t="shared" si="6"/>
        <v>207.22772909384085</v>
      </c>
      <c r="R15" s="169">
        <f t="shared" si="7"/>
        <v>156.16307232158354</v>
      </c>
    </row>
    <row r="16" spans="1:18" x14ac:dyDescent="0.25">
      <c r="A16" s="169" t="s">
        <v>228</v>
      </c>
      <c r="D16" s="169">
        <f>SUM(D10:D15)</f>
        <v>19977.641867599999</v>
      </c>
      <c r="E16" s="169">
        <f>SUM(E10:E15)</f>
        <v>2036.4568672375126</v>
      </c>
      <c r="G16" s="169" t="s">
        <v>228</v>
      </c>
      <c r="I16" s="169">
        <f>SUM(I10:I15)</f>
        <v>233787.78239811998</v>
      </c>
      <c r="M16" s="169" t="s">
        <v>229</v>
      </c>
      <c r="P16" s="85">
        <f>0.6*N15*O15</f>
        <v>307.20716879144265</v>
      </c>
    </row>
    <row r="19" spans="1:7" x14ac:dyDescent="0.25">
      <c r="A19" s="169" t="s">
        <v>230</v>
      </c>
      <c r="B19" s="169">
        <v>7.4999999999999997E-2</v>
      </c>
    </row>
    <row r="20" spans="1:7" x14ac:dyDescent="0.25">
      <c r="A20" s="169" t="s">
        <v>231</v>
      </c>
      <c r="B20" s="169">
        <f>(3.2*5)+3.7</f>
        <v>19.7</v>
      </c>
      <c r="C20" s="169" t="s">
        <v>232</v>
      </c>
    </row>
    <row r="21" spans="1:7" x14ac:dyDescent="0.25">
      <c r="A21" s="169" t="s">
        <v>233</v>
      </c>
      <c r="B21" s="169">
        <f>[4]Dati!$B$28</f>
        <v>0.69167956685069887</v>
      </c>
    </row>
    <row r="22" spans="1:7" x14ac:dyDescent="0.25">
      <c r="A22" s="169" t="s">
        <v>234</v>
      </c>
      <c r="B22" s="169">
        <v>3.2</v>
      </c>
      <c r="C22" s="169" t="s">
        <v>235</v>
      </c>
      <c r="D22" s="169">
        <f>3.7</f>
        <v>3.7</v>
      </c>
    </row>
    <row r="23" spans="1:7" x14ac:dyDescent="0.25">
      <c r="A23" s="169" t="s">
        <v>236</v>
      </c>
      <c r="B23" s="169">
        <f>0.85*D16*B28</f>
        <v>1660.5792907645548</v>
      </c>
    </row>
    <row r="24" spans="1:7" x14ac:dyDescent="0.25">
      <c r="A24" s="169" t="s">
        <v>237</v>
      </c>
      <c r="B24" s="169">
        <v>5.2</v>
      </c>
    </row>
    <row r="25" spans="1:7" x14ac:dyDescent="0.25">
      <c r="A25" s="169" t="s">
        <v>238</v>
      </c>
      <c r="B25" s="169">
        <v>27</v>
      </c>
    </row>
    <row r="26" spans="1:7" x14ac:dyDescent="0.25">
      <c r="A26" s="169" t="s">
        <v>239</v>
      </c>
      <c r="B26" s="169">
        <v>13</v>
      </c>
    </row>
    <row r="27" spans="1:7" x14ac:dyDescent="0.25">
      <c r="A27" s="169" t="s">
        <v>240</v>
      </c>
      <c r="B27" s="169">
        <v>12</v>
      </c>
      <c r="C27" s="169" t="s">
        <v>241</v>
      </c>
      <c r="E27" s="169">
        <v>12</v>
      </c>
    </row>
    <row r="28" spans="1:7" x14ac:dyDescent="0.25">
      <c r="A28" s="169" t="s">
        <v>242</v>
      </c>
      <c r="B28" s="169">
        <f>[5]Dati!$D$28</f>
        <v>9.7790455348262806E-2</v>
      </c>
      <c r="C28" s="169" t="s">
        <v>243</v>
      </c>
    </row>
    <row r="30" spans="1:7" x14ac:dyDescent="0.25">
      <c r="A30" s="164" t="s">
        <v>214</v>
      </c>
      <c r="B30" s="164" t="str">
        <f>J9</f>
        <v>Fy</v>
      </c>
      <c r="C30" s="164" t="s">
        <v>244</v>
      </c>
      <c r="D30" s="164" t="s">
        <v>245</v>
      </c>
      <c r="E30" s="164" t="s">
        <v>246</v>
      </c>
      <c r="F30" s="164" t="s">
        <v>247</v>
      </c>
    </row>
    <row r="31" spans="1:7" x14ac:dyDescent="0.25">
      <c r="A31" s="164" t="s">
        <v>202</v>
      </c>
      <c r="B31" s="164">
        <f t="shared" ref="B31:B36" si="8">J10</f>
        <v>476.53603869058878</v>
      </c>
      <c r="C31" s="164">
        <f t="shared" ref="C31:C36" si="9">0.05*26.45</f>
        <v>1.3225</v>
      </c>
      <c r="D31" s="164">
        <f t="shared" ref="D31:D36" si="10">0.05*13.6</f>
        <v>0.68</v>
      </c>
      <c r="E31" s="164"/>
      <c r="F31" s="165">
        <f t="shared" ref="F31:F36" si="11">B31*C31</f>
        <v>630.21891116830363</v>
      </c>
      <c r="G31" s="171" t="s">
        <v>285</v>
      </c>
    </row>
    <row r="32" spans="1:7" x14ac:dyDescent="0.25">
      <c r="A32" s="164">
        <v>5</v>
      </c>
      <c r="B32" s="164">
        <f t="shared" si="8"/>
        <v>380.8681243062469</v>
      </c>
      <c r="C32" s="164">
        <f t="shared" si="9"/>
        <v>1.3225</v>
      </c>
      <c r="D32" s="164">
        <f t="shared" si="10"/>
        <v>0.68</v>
      </c>
      <c r="E32" s="164"/>
      <c r="F32" s="165">
        <f t="shared" si="11"/>
        <v>503.69809439501154</v>
      </c>
    </row>
    <row r="33" spans="1:6" x14ac:dyDescent="0.25">
      <c r="A33" s="164">
        <v>4</v>
      </c>
      <c r="B33" s="164">
        <f t="shared" si="8"/>
        <v>313.83431886905606</v>
      </c>
      <c r="C33" s="164">
        <f t="shared" si="9"/>
        <v>1.3225</v>
      </c>
      <c r="D33" s="164">
        <f t="shared" si="10"/>
        <v>0.68</v>
      </c>
      <c r="E33" s="164"/>
      <c r="F33" s="165">
        <f t="shared" si="11"/>
        <v>415.04588670432662</v>
      </c>
    </row>
    <row r="34" spans="1:6" x14ac:dyDescent="0.25">
      <c r="A34" s="164">
        <v>3</v>
      </c>
      <c r="B34" s="164">
        <f t="shared" si="8"/>
        <v>238.32530981785462</v>
      </c>
      <c r="C34" s="164">
        <f t="shared" si="9"/>
        <v>1.3225</v>
      </c>
      <c r="D34" s="164">
        <f t="shared" si="10"/>
        <v>0.68</v>
      </c>
      <c r="E34" s="164"/>
      <c r="F34" s="165">
        <f t="shared" si="11"/>
        <v>315.18522223411276</v>
      </c>
    </row>
    <row r="35" spans="1:6" x14ac:dyDescent="0.25">
      <c r="A35" s="164">
        <v>2</v>
      </c>
      <c r="B35" s="164">
        <f t="shared" si="8"/>
        <v>162.81630076665314</v>
      </c>
      <c r="C35" s="164">
        <f t="shared" si="9"/>
        <v>1.3225</v>
      </c>
      <c r="D35" s="164">
        <f t="shared" si="10"/>
        <v>0.68</v>
      </c>
      <c r="E35" s="164"/>
      <c r="F35" s="165">
        <f t="shared" si="11"/>
        <v>215.32455776389878</v>
      </c>
    </row>
    <row r="36" spans="1:6" x14ac:dyDescent="0.25">
      <c r="A36" s="164">
        <v>1</v>
      </c>
      <c r="B36" s="164">
        <f t="shared" si="8"/>
        <v>88.19919831415541</v>
      </c>
      <c r="C36" s="164">
        <f t="shared" si="9"/>
        <v>1.3225</v>
      </c>
      <c r="D36" s="164">
        <f t="shared" si="10"/>
        <v>0.68</v>
      </c>
      <c r="E36" s="164"/>
      <c r="F36" s="165">
        <f t="shared" si="11"/>
        <v>116.64343977047054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opLeftCell="A19" workbookViewId="0">
      <selection activeCell="O33" sqref="O33"/>
    </sheetView>
  </sheetViews>
  <sheetFormatPr defaultRowHeight="15" x14ac:dyDescent="0.25"/>
  <cols>
    <col min="1" max="20" width="9.140625" style="169"/>
  </cols>
  <sheetData>
    <row r="1" spans="1:18" x14ac:dyDescent="0.25">
      <c r="A1" s="169" t="s">
        <v>287</v>
      </c>
      <c r="D1" s="169" t="s">
        <v>288</v>
      </c>
      <c r="I1" s="169" t="s">
        <v>289</v>
      </c>
      <c r="O1" s="169" t="s">
        <v>290</v>
      </c>
    </row>
    <row r="2" spans="1:18" x14ac:dyDescent="0.25">
      <c r="A2" s="169" t="s">
        <v>291</v>
      </c>
      <c r="D2" s="169" t="s">
        <v>292</v>
      </c>
      <c r="E2" s="169" t="s">
        <v>293</v>
      </c>
      <c r="F2" s="169" t="s">
        <v>294</v>
      </c>
      <c r="G2" s="169" t="s">
        <v>295</v>
      </c>
      <c r="I2" s="169" t="s">
        <v>292</v>
      </c>
      <c r="J2" s="169" t="s">
        <v>293</v>
      </c>
      <c r="K2" s="169" t="s">
        <v>294</v>
      </c>
      <c r="L2" s="169" t="s">
        <v>295</v>
      </c>
      <c r="O2" s="169" t="s">
        <v>292</v>
      </c>
      <c r="P2" s="169" t="s">
        <v>293</v>
      </c>
      <c r="Q2" s="169" t="s">
        <v>294</v>
      </c>
      <c r="R2" s="169" t="s">
        <v>295</v>
      </c>
    </row>
    <row r="3" spans="1:18" x14ac:dyDescent="0.25">
      <c r="A3" s="169" t="s">
        <v>296</v>
      </c>
      <c r="D3" s="169" t="s">
        <v>297</v>
      </c>
      <c r="E3" s="169">
        <v>2</v>
      </c>
      <c r="F3" s="169">
        <v>11</v>
      </c>
      <c r="G3" s="169" t="s">
        <v>48</v>
      </c>
      <c r="I3" s="169" t="s">
        <v>297</v>
      </c>
      <c r="J3" s="169">
        <v>2</v>
      </c>
      <c r="K3" s="169">
        <v>11</v>
      </c>
      <c r="L3" s="169" t="s">
        <v>48</v>
      </c>
      <c r="O3" s="169" t="s">
        <v>298</v>
      </c>
      <c r="P3" s="169">
        <v>2</v>
      </c>
      <c r="Q3" s="169">
        <v>11</v>
      </c>
      <c r="R3" s="169" t="s">
        <v>48</v>
      </c>
    </row>
    <row r="4" spans="1:18" x14ac:dyDescent="0.25">
      <c r="A4" s="169" t="s">
        <v>299</v>
      </c>
      <c r="D4" s="169" t="s">
        <v>300</v>
      </c>
      <c r="E4" s="169" t="s">
        <v>48</v>
      </c>
      <c r="F4" s="169">
        <v>3</v>
      </c>
      <c r="G4" s="169">
        <v>9</v>
      </c>
      <c r="I4" s="169" t="s">
        <v>300</v>
      </c>
      <c r="J4" s="169" t="s">
        <v>48</v>
      </c>
      <c r="K4" s="169">
        <v>3</v>
      </c>
      <c r="L4" s="169">
        <v>9</v>
      </c>
      <c r="O4" s="169" t="s">
        <v>301</v>
      </c>
      <c r="P4" s="169" t="s">
        <v>48</v>
      </c>
      <c r="Q4" s="169">
        <v>3</v>
      </c>
      <c r="R4" s="169">
        <v>9</v>
      </c>
    </row>
    <row r="5" spans="1:18" x14ac:dyDescent="0.25">
      <c r="A5" s="169" t="s">
        <v>302</v>
      </c>
      <c r="D5" s="169" t="s">
        <v>303</v>
      </c>
      <c r="E5" s="169">
        <f>'[6]x p.tipo30x70 2 tr emerg'!$L$5</f>
        <v>32.124220207247788</v>
      </c>
      <c r="F5" s="169">
        <f>'[6]x p.tipo30x70 1 tr emer'!$L$5</f>
        <v>19.175840563420966</v>
      </c>
      <c r="G5" s="169" t="s">
        <v>48</v>
      </c>
      <c r="I5" s="169" t="s">
        <v>303</v>
      </c>
      <c r="J5" s="169">
        <f>'[7]x p.terra30x70 2 tr emerg'!$L$5</f>
        <v>37.824529120484691</v>
      </c>
      <c r="K5" s="169">
        <f>'[7]x p.terra30x70 1 tr emer'!$L$5</f>
        <v>30.123174952428801</v>
      </c>
      <c r="L5" s="169" t="s">
        <v>48</v>
      </c>
      <c r="O5" s="169" t="s">
        <v>304</v>
      </c>
    </row>
    <row r="6" spans="1:18" x14ac:dyDescent="0.25">
      <c r="A6" s="169" t="s">
        <v>305</v>
      </c>
      <c r="D6" s="169" t="s">
        <v>306</v>
      </c>
      <c r="E6" s="169" t="s">
        <v>48</v>
      </c>
      <c r="F6" s="169">
        <f>'[6]x p.tipo 70x30 1 tr emerg'!$L$5</f>
        <v>10.300838347113535</v>
      </c>
      <c r="G6" s="169">
        <f>'[6] x p.tipo 70x30 2 spess'!$L$5</f>
        <v>3.5852091840472422</v>
      </c>
      <c r="H6" s="169" t="s">
        <v>307</v>
      </c>
      <c r="I6" s="169" t="s">
        <v>306</v>
      </c>
      <c r="J6" s="169" t="s">
        <v>48</v>
      </c>
      <c r="K6" s="169">
        <f>'[7]x p.tipo 70x30 1 tr emerg'!$L$5</f>
        <v>9.0583298961183534</v>
      </c>
      <c r="L6" s="169">
        <f>'[7] x p.tipo 70x30 2 spess'!$L$5</f>
        <v>5.5734360701465597</v>
      </c>
      <c r="M6" s="169" t="s">
        <v>307</v>
      </c>
      <c r="O6" s="169" t="s">
        <v>308</v>
      </c>
    </row>
    <row r="7" spans="1:18" x14ac:dyDescent="0.25">
      <c r="A7" s="169" t="s">
        <v>309</v>
      </c>
      <c r="G7" s="169">
        <f>'[6]x p.tipo 70x30 1 spess'!$L$5</f>
        <v>1.9888322574175896</v>
      </c>
      <c r="H7" s="169" t="s">
        <v>310</v>
      </c>
      <c r="L7" s="169">
        <f>'[7]x p.tipo 70x30 1 spess'!$L$5</f>
        <v>4.4874313177713931</v>
      </c>
      <c r="M7" s="169" t="s">
        <v>310</v>
      </c>
      <c r="O7" s="169" t="s">
        <v>292</v>
      </c>
      <c r="P7" s="169" t="s">
        <v>293</v>
      </c>
      <c r="Q7" s="169" t="s">
        <v>294</v>
      </c>
      <c r="R7" s="169" t="s">
        <v>295</v>
      </c>
    </row>
    <row r="8" spans="1:18" x14ac:dyDescent="0.25">
      <c r="A8" s="169" t="s">
        <v>311</v>
      </c>
      <c r="D8" s="169" t="s">
        <v>312</v>
      </c>
      <c r="I8" s="169" t="s">
        <v>313</v>
      </c>
      <c r="O8" s="169" t="s">
        <v>298</v>
      </c>
      <c r="P8" s="169">
        <v>9</v>
      </c>
      <c r="Q8" s="169">
        <v>3</v>
      </c>
      <c r="R8" s="169" t="s">
        <v>48</v>
      </c>
    </row>
    <row r="9" spans="1:18" x14ac:dyDescent="0.25">
      <c r="A9" s="169" t="s">
        <v>314</v>
      </c>
      <c r="D9" s="169" t="s">
        <v>292</v>
      </c>
      <c r="E9" s="169" t="s">
        <v>293</v>
      </c>
      <c r="F9" s="169" t="s">
        <v>294</v>
      </c>
      <c r="G9" s="169" t="s">
        <v>295</v>
      </c>
      <c r="I9" s="169" t="s">
        <v>292</v>
      </c>
      <c r="J9" s="169" t="s">
        <v>293</v>
      </c>
      <c r="K9" s="169" t="s">
        <v>294</v>
      </c>
      <c r="L9" s="169" t="s">
        <v>295</v>
      </c>
      <c r="O9" s="169" t="s">
        <v>301</v>
      </c>
      <c r="P9" s="169">
        <v>1</v>
      </c>
      <c r="Q9" s="169">
        <v>11</v>
      </c>
      <c r="R9" s="169">
        <v>1</v>
      </c>
    </row>
    <row r="10" spans="1:18" x14ac:dyDescent="0.25">
      <c r="A10" s="169" t="s">
        <v>315</v>
      </c>
      <c r="D10" s="169" t="s">
        <v>297</v>
      </c>
      <c r="E10" s="169">
        <v>9</v>
      </c>
      <c r="F10" s="169">
        <v>3</v>
      </c>
      <c r="G10" s="169" t="s">
        <v>48</v>
      </c>
      <c r="I10" s="169" t="s">
        <v>297</v>
      </c>
      <c r="J10" s="169">
        <v>9</v>
      </c>
      <c r="K10" s="169">
        <v>3</v>
      </c>
      <c r="L10" s="169" t="s">
        <v>48</v>
      </c>
    </row>
    <row r="11" spans="1:18" x14ac:dyDescent="0.25">
      <c r="D11" s="169" t="s">
        <v>300</v>
      </c>
      <c r="E11" s="169">
        <v>1</v>
      </c>
      <c r="F11" s="169">
        <v>11</v>
      </c>
      <c r="G11" s="169">
        <v>1</v>
      </c>
      <c r="I11" s="169" t="s">
        <v>300</v>
      </c>
      <c r="J11" s="169">
        <v>1</v>
      </c>
      <c r="K11" s="169">
        <v>11</v>
      </c>
      <c r="L11" s="169">
        <v>1</v>
      </c>
    </row>
    <row r="12" spans="1:18" x14ac:dyDescent="0.25">
      <c r="D12" s="169" t="s">
        <v>303</v>
      </c>
      <c r="E12" s="169">
        <f>'[8]y 30x80 2 tr emerg'!$L$5</f>
        <v>30.832326920475296</v>
      </c>
      <c r="F12" s="169">
        <f>'[8]y 30x80 1 tr emerg'!$L$5</f>
        <v>18.262300425358582</v>
      </c>
      <c r="G12" s="169" t="s">
        <v>48</v>
      </c>
      <c r="I12" s="169" t="s">
        <v>303</v>
      </c>
      <c r="J12" s="169">
        <f>'[7]y 30x70 2 tr emerg'!$L$5</f>
        <v>37.110254290115428</v>
      </c>
      <c r="K12" s="169">
        <f>'[7]y 30x70 1 tr emerg'!$L$5</f>
        <v>29.530584436482165</v>
      </c>
      <c r="L12" s="169" t="s">
        <v>48</v>
      </c>
    </row>
    <row r="13" spans="1:18" x14ac:dyDescent="0.25">
      <c r="D13" s="169" t="s">
        <v>306</v>
      </c>
      <c r="E13" s="169">
        <f>'[8]y 80x30 2 tr emerg'!$L$5</f>
        <v>12.925906090782766</v>
      </c>
      <c r="F13" s="169">
        <f>'[8]y 80x30 1 tr emerg'!$L$5</f>
        <v>10.031283698777857</v>
      </c>
      <c r="G13" s="169">
        <f>'[8]y 80x30 1 tr spess'!$L$5</f>
        <v>2.8068958138180466</v>
      </c>
      <c r="I13" s="169" t="s">
        <v>306</v>
      </c>
      <c r="J13" s="169">
        <f>'[7]y 70x30 2 tr emerg'!$L$5</f>
        <v>10.08272882530783</v>
      </c>
      <c r="K13" s="169">
        <f>'[7]y 70x30 1 tr emerg'!$L$5</f>
        <v>8.9443829065549689</v>
      </c>
      <c r="L13" s="169">
        <f>'[7]y 70x30 1 tr spess'!$L$5</f>
        <v>5.0596785086392035</v>
      </c>
    </row>
    <row r="14" spans="1:18" x14ac:dyDescent="0.25">
      <c r="A14" s="169" t="s">
        <v>316</v>
      </c>
    </row>
    <row r="15" spans="1:18" x14ac:dyDescent="0.25">
      <c r="A15" s="169" t="s">
        <v>317</v>
      </c>
      <c r="B15" s="169">
        <v>5</v>
      </c>
      <c r="I15" s="169" t="s">
        <v>318</v>
      </c>
      <c r="O15" s="169" t="s">
        <v>319</v>
      </c>
    </row>
    <row r="16" spans="1:18" x14ac:dyDescent="0.25">
      <c r="A16" s="169" t="s">
        <v>320</v>
      </c>
      <c r="B16" s="169">
        <v>4</v>
      </c>
      <c r="I16" s="169" t="s">
        <v>292</v>
      </c>
      <c r="J16" s="169" t="s">
        <v>293</v>
      </c>
      <c r="K16" s="169" t="s">
        <v>294</v>
      </c>
      <c r="L16" s="169" t="s">
        <v>295</v>
      </c>
      <c r="O16" s="169" t="s">
        <v>292</v>
      </c>
      <c r="P16" s="169" t="s">
        <v>293</v>
      </c>
      <c r="Q16" s="169" t="s">
        <v>294</v>
      </c>
      <c r="R16" s="169" t="s">
        <v>295</v>
      </c>
    </row>
    <row r="17" spans="1:19" x14ac:dyDescent="0.25">
      <c r="D17" s="169" t="s">
        <v>321</v>
      </c>
      <c r="E17" s="169" t="s">
        <v>322</v>
      </c>
      <c r="F17" s="169" t="s">
        <v>323</v>
      </c>
      <c r="I17" s="169" t="s">
        <v>297</v>
      </c>
      <c r="J17" s="169">
        <v>2</v>
      </c>
      <c r="K17" s="169">
        <v>11</v>
      </c>
      <c r="L17" s="169" t="s">
        <v>48</v>
      </c>
      <c r="O17" s="169" t="s">
        <v>297</v>
      </c>
      <c r="P17" s="169">
        <v>2</v>
      </c>
      <c r="Q17" s="169">
        <v>11</v>
      </c>
      <c r="R17" s="169" t="s">
        <v>48</v>
      </c>
    </row>
    <row r="18" spans="1:19" x14ac:dyDescent="0.25">
      <c r="A18" s="169" t="s">
        <v>324</v>
      </c>
      <c r="B18" s="169">
        <v>19</v>
      </c>
      <c r="D18" s="169">
        <v>6</v>
      </c>
      <c r="E18" s="169">
        <f>(J17*J19)+(K17*K19)+(K18*K20)+(B15*L20)+(B16*L21)</f>
        <v>225.3754247758705</v>
      </c>
      <c r="F18" s="169">
        <f>(J24*J26)+(K24*K26)+(J25*J27)+(K25*K27)+(L25*L27)</f>
        <v>315.94064785348081</v>
      </c>
      <c r="I18" s="169" t="s">
        <v>300</v>
      </c>
      <c r="J18" s="169" t="s">
        <v>48</v>
      </c>
      <c r="K18" s="169">
        <v>3</v>
      </c>
      <c r="L18" s="169">
        <v>9</v>
      </c>
      <c r="O18" s="169" t="s">
        <v>300</v>
      </c>
      <c r="P18" s="169" t="s">
        <v>48</v>
      </c>
      <c r="Q18" s="169">
        <v>3</v>
      </c>
      <c r="R18" s="169">
        <v>9</v>
      </c>
    </row>
    <row r="19" spans="1:19" x14ac:dyDescent="0.25">
      <c r="A19" s="169" t="s">
        <v>325</v>
      </c>
      <c r="B19" s="169">
        <v>20</v>
      </c>
      <c r="D19" s="169">
        <v>5</v>
      </c>
      <c r="E19" s="169">
        <f>($E$3*$P$19)+($F$3*$Q$19)+($F$4*$Q$20)+($B$15*$G$6)+($B$16*$G$7)</f>
        <v>275.55959059488424</v>
      </c>
      <c r="F19" s="169">
        <f>($E$10*$P$26)+($F$10*$Q$26)+($E$11*$P$27)+($F$11*$Q$27)+($G$11*$R$27)</f>
        <v>387.10706697681468</v>
      </c>
      <c r="I19" s="169" t="s">
        <v>303</v>
      </c>
      <c r="J19" s="169">
        <f>'[9]x terr 2 tr emerg 30x70'!$L$5</f>
        <v>21.53707100714005</v>
      </c>
      <c r="K19" s="169">
        <f>'[9]x terr 1 tr emerg 30x70'!$L$5</f>
        <v>12.084041590728967</v>
      </c>
      <c r="L19" s="169" t="s">
        <v>48</v>
      </c>
      <c r="O19" s="169" t="s">
        <v>303</v>
      </c>
      <c r="P19" s="169">
        <f>'[10]x p.4 30x80 2 tr emerg'!$L$5</f>
        <v>26.46333620453073</v>
      </c>
      <c r="Q19" s="169">
        <f>'[11]x p.4 30x70 1 tr emer'!$L$5</f>
        <v>15.436768653433358</v>
      </c>
      <c r="R19" s="169" t="s">
        <v>48</v>
      </c>
    </row>
    <row r="20" spans="1:19" x14ac:dyDescent="0.25">
      <c r="A20" s="169" t="str">
        <f>'[1]masse e forze'!A25</f>
        <v>N pilastri =</v>
      </c>
      <c r="B20" s="169">
        <f>'[1]masse e forze'!B25</f>
        <v>27</v>
      </c>
      <c r="D20" s="169">
        <v>4</v>
      </c>
      <c r="E20" s="169">
        <f>($E$3*$E$5)+($F$3*$F$5)+($F$4*$F$6)+($B$15*$G$6)+($B$16*$G$7)</f>
        <v>331.96657660337337</v>
      </c>
      <c r="F20" s="169">
        <f t="shared" ref="F20:F22" si="0">($E$10*$E$12)+($F$10*$F$12)+($E$11*$E$13)+($F$11*$F$13)+($G$11*$G$13)</f>
        <v>458.35476615151066</v>
      </c>
      <c r="I20" s="169" t="s">
        <v>306</v>
      </c>
      <c r="J20" s="169" t="s">
        <v>48</v>
      </c>
      <c r="K20" s="169">
        <f>'[9]70x30 1 trav emerg x terr'!$L$5</f>
        <v>7.8318167712217353</v>
      </c>
      <c r="L20" s="169">
        <f>'[9]x terr 70x30 2 sp'!$L$5</f>
        <v>3.5852091840472422</v>
      </c>
      <c r="M20" s="169" t="s">
        <v>307</v>
      </c>
      <c r="O20" s="169" t="s">
        <v>306</v>
      </c>
      <c r="P20" s="169" t="s">
        <v>48</v>
      </c>
      <c r="Q20" s="169">
        <f>'[10]x p.4 80x30 1 tr emerg'!$L$5</f>
        <v>8.982362682716424</v>
      </c>
      <c r="R20" s="169">
        <f>'[10] x p.4 80x30 2 spess'!$L$5</f>
        <v>3.5852091840472422</v>
      </c>
      <c r="S20" s="169" t="s">
        <v>307</v>
      </c>
    </row>
    <row r="21" spans="1:19" x14ac:dyDescent="0.25">
      <c r="A21" s="169" t="str">
        <f>'[1]masse e forze'!A26</f>
        <v>direzione x=</v>
      </c>
      <c r="B21" s="169">
        <f>'[1]masse e forze'!B26</f>
        <v>13</v>
      </c>
      <c r="D21" s="169">
        <v>3</v>
      </c>
      <c r="E21" s="169">
        <f>($E$3*$E$5)+($F$3*$F$5)+($F$4*$F$6)+($B$15*$G$6)+($B$16*$G$7)</f>
        <v>331.96657660337337</v>
      </c>
      <c r="F21" s="169">
        <f t="shared" si="0"/>
        <v>458.35476615151066</v>
      </c>
      <c r="L21" s="169">
        <f>'[9]x 70x30 1 sp'!$L$5</f>
        <v>1.9888322574175896</v>
      </c>
      <c r="M21" s="169" t="s">
        <v>310</v>
      </c>
      <c r="R21" s="169">
        <f>'[10]x p.4 80x30 1 spess'!$L$5</f>
        <v>1.9888322574175896</v>
      </c>
      <c r="S21" s="169" t="s">
        <v>310</v>
      </c>
    </row>
    <row r="22" spans="1:19" x14ac:dyDescent="0.25">
      <c r="A22" s="169" t="str">
        <f>'[1]masse e forze'!A27</f>
        <v>direzione y=</v>
      </c>
      <c r="B22" s="169">
        <f>'[1]masse e forze'!B27</f>
        <v>12</v>
      </c>
      <c r="D22" s="169">
        <v>2</v>
      </c>
      <c r="E22" s="169">
        <f>($E$3*$E$5)+($F$3*$F$5)+($F$4*$F$6)+($B$15*$G$6)+($B$16*$G$7)</f>
        <v>331.96657660337337</v>
      </c>
      <c r="F22" s="169">
        <f t="shared" si="0"/>
        <v>458.35476615151066</v>
      </c>
      <c r="I22" s="169" t="s">
        <v>326</v>
      </c>
      <c r="O22" s="169" t="s">
        <v>327</v>
      </c>
    </row>
    <row r="23" spans="1:19" x14ac:dyDescent="0.25">
      <c r="D23" s="169">
        <v>1</v>
      </c>
      <c r="E23" s="169">
        <f>(J3*J5)+(K3*K5)+(K4*K6)+(L6*B15)+(L7*B16)</f>
        <v>479.99587802785965</v>
      </c>
      <c r="F23" s="169">
        <f>(J10*J12)+(K10*K12)+(J11*J13)+(K11*K13)+(L11*L13)</f>
        <v>536.11466122653701</v>
      </c>
      <c r="I23" s="169" t="s">
        <v>292</v>
      </c>
      <c r="J23" s="169" t="s">
        <v>293</v>
      </c>
      <c r="K23" s="169" t="s">
        <v>294</v>
      </c>
      <c r="L23" s="169" t="s">
        <v>295</v>
      </c>
      <c r="O23" s="169" t="s">
        <v>292</v>
      </c>
      <c r="P23" s="169" t="s">
        <v>293</v>
      </c>
      <c r="Q23" s="169" t="s">
        <v>294</v>
      </c>
      <c r="R23" s="169" t="s">
        <v>295</v>
      </c>
    </row>
    <row r="24" spans="1:19" x14ac:dyDescent="0.25">
      <c r="I24" s="169" t="s">
        <v>297</v>
      </c>
      <c r="J24" s="169">
        <v>9</v>
      </c>
      <c r="K24" s="169">
        <v>3</v>
      </c>
      <c r="L24" s="169" t="s">
        <v>48</v>
      </c>
      <c r="O24" s="169" t="s">
        <v>297</v>
      </c>
      <c r="P24" s="169">
        <v>9</v>
      </c>
      <c r="Q24" s="169">
        <v>3</v>
      </c>
      <c r="R24" s="169" t="s">
        <v>48</v>
      </c>
    </row>
    <row r="25" spans="1:19" x14ac:dyDescent="0.25">
      <c r="I25" s="169" t="s">
        <v>300</v>
      </c>
      <c r="J25" s="169">
        <v>1</v>
      </c>
      <c r="K25" s="169">
        <v>11</v>
      </c>
      <c r="L25" s="169">
        <v>1</v>
      </c>
      <c r="O25" s="169" t="s">
        <v>300</v>
      </c>
      <c r="P25" s="169">
        <v>1</v>
      </c>
      <c r="Q25" s="169">
        <v>11</v>
      </c>
      <c r="R25" s="169">
        <v>1</v>
      </c>
    </row>
    <row r="26" spans="1:19" x14ac:dyDescent="0.25">
      <c r="A26" s="171" t="str">
        <f>'Fx  sollecitazioni e coppie'!K9</f>
        <v>V</v>
      </c>
      <c r="B26" s="171" t="s">
        <v>328</v>
      </c>
      <c r="C26" s="171" t="s">
        <v>329</v>
      </c>
      <c r="D26" s="171" t="str">
        <f>'masse di piano '!B1</f>
        <v>massa</v>
      </c>
      <c r="E26" s="171" t="s">
        <v>330</v>
      </c>
      <c r="F26" s="171" t="s">
        <v>331</v>
      </c>
      <c r="G26" s="171" t="s">
        <v>321</v>
      </c>
      <c r="I26" s="169" t="s">
        <v>303</v>
      </c>
      <c r="J26" s="169">
        <f>'[9] y 30x70 2 tr emetg'!$L$5</f>
        <v>20.540016477892124</v>
      </c>
      <c r="K26" s="169">
        <f>'[9]y 30x70 1 tr emerg'!$L$5</f>
        <v>11.459802688385174</v>
      </c>
      <c r="L26" s="169" t="s">
        <v>48</v>
      </c>
      <c r="O26" s="169" t="s">
        <v>303</v>
      </c>
      <c r="P26" s="169">
        <f>'[10]y 30x80 2 tr emerg'!$L$5</f>
        <v>25.333748699753201</v>
      </c>
      <c r="Q26" s="169">
        <f>'[10]y 30x80 1 tr emerg'!$L$5</f>
        <v>14.681193488833213</v>
      </c>
      <c r="R26" s="169" t="s">
        <v>48</v>
      </c>
    </row>
    <row r="27" spans="1:19" x14ac:dyDescent="0.25">
      <c r="A27" s="171">
        <f>'Fx  sollecitazioni e coppie'!K10</f>
        <v>415.14292660684248</v>
      </c>
      <c r="B27" s="171">
        <f>A27/E18</f>
        <v>1.8420061859880703</v>
      </c>
      <c r="C27" s="171">
        <f t="shared" ref="C27:C30" si="1">C28+B27</f>
        <v>18.46556049777741</v>
      </c>
      <c r="D27" s="171">
        <f>'masse di piano '!B2</f>
        <v>347.15442931702341</v>
      </c>
      <c r="E27" s="171">
        <f>I32*C27</f>
        <v>7665.8468264830171</v>
      </c>
      <c r="F27" s="171">
        <f>(D27*(C27^2))/1000</f>
        <v>118.37164963405672</v>
      </c>
      <c r="G27" s="171">
        <v>6</v>
      </c>
      <c r="I27" s="169" t="s">
        <v>306</v>
      </c>
      <c r="J27" s="169">
        <f>'[9]y 70x30 2 tr emerg'!$L$5</f>
        <v>10.681937318567646</v>
      </c>
      <c r="K27" s="169">
        <f>'[9]y 70x 30 1 tr emergente'!$L$5</f>
        <v>7.5647507595373149</v>
      </c>
      <c r="L27" s="169">
        <f>'[9]y 70x30 1 sp'!$L$5</f>
        <v>2.8068958138180466</v>
      </c>
      <c r="O27" s="169" t="s">
        <v>306</v>
      </c>
      <c r="P27" s="169">
        <f>'[10]y 80x30 2 tr emerg'!$L$5</f>
        <v>11.743655791615245</v>
      </c>
      <c r="Q27" s="169">
        <f>'[10]y 80x30 1 tr emerg'!$L$5</f>
        <v>8.7129642430861924</v>
      </c>
      <c r="R27" s="169">
        <f>'[10]y 80x30 1 tr spess'!$L$5</f>
        <v>7.4734857469728491</v>
      </c>
    </row>
    <row r="28" spans="1:19" x14ac:dyDescent="0.25">
      <c r="A28" s="171">
        <f>'Fx  sollecitazioni e coppie'!K11</f>
        <v>746.94303182074577</v>
      </c>
      <c r="B28" s="171">
        <f t="shared" ref="B28:B32" si="2">A28/E19</f>
        <v>2.7106406647223866</v>
      </c>
      <c r="C28" s="171">
        <f t="shared" si="1"/>
        <v>16.623554311789341</v>
      </c>
      <c r="D28" s="171">
        <f>'masse di piano '!B3</f>
        <v>331.27134385321096</v>
      </c>
      <c r="E28" s="171">
        <f t="shared" ref="E28:E32" si="3">I33*C28</f>
        <v>5515.6970696807384</v>
      </c>
      <c r="F28" s="171">
        <f t="shared" ref="F28:F32" si="4">(D28*(C28^2))/1000</f>
        <v>91.544370538252537</v>
      </c>
      <c r="G28" s="171">
        <v>5</v>
      </c>
    </row>
    <row r="29" spans="1:19" x14ac:dyDescent="0.25">
      <c r="A29" s="171">
        <f>'Fx  sollecitazioni e coppie'!K12</f>
        <v>1020.3454337942903</v>
      </c>
      <c r="B29" s="171">
        <f t="shared" si="2"/>
        <v>3.0736390519620818</v>
      </c>
      <c r="C29" s="171">
        <f t="shared" si="1"/>
        <v>13.912913647066954</v>
      </c>
      <c r="D29" s="171">
        <f>'masse di piano '!B4</f>
        <v>338.64290348623854</v>
      </c>
      <c r="E29" s="171">
        <f t="shared" si="3"/>
        <v>3803.8240095586134</v>
      </c>
      <c r="F29" s="171">
        <f t="shared" si="4"/>
        <v>65.550824450697363</v>
      </c>
      <c r="G29" s="171">
        <v>4</v>
      </c>
    </row>
    <row r="30" spans="1:19" x14ac:dyDescent="0.25">
      <c r="A30" s="171">
        <f>'Fx  sollecitazioni e coppie'!K13</f>
        <v>1227.9668067215684</v>
      </c>
      <c r="B30" s="171">
        <f t="shared" si="2"/>
        <v>3.6990675967620597</v>
      </c>
      <c r="C30" s="171">
        <f t="shared" si="1"/>
        <v>10.839274595104872</v>
      </c>
      <c r="D30" s="171">
        <f>'masse di piano '!B5</f>
        <v>338.64290348623854</v>
      </c>
      <c r="E30" s="171">
        <f t="shared" si="3"/>
        <v>2250.4650729714413</v>
      </c>
      <c r="F30" s="171">
        <f t="shared" si="4"/>
        <v>39.787111976283398</v>
      </c>
      <c r="G30" s="171">
        <v>3</v>
      </c>
    </row>
    <row r="31" spans="1:19" x14ac:dyDescent="0.25">
      <c r="A31" s="171">
        <f>'Fx  sollecitazioni e coppie'!K14</f>
        <v>1369.8071506025804</v>
      </c>
      <c r="B31" s="171">
        <f t="shared" si="2"/>
        <v>4.1263405630115493</v>
      </c>
      <c r="C31" s="171">
        <f>C32+B31</f>
        <v>7.1402069983428129</v>
      </c>
      <c r="D31" s="171">
        <f>'masse di piano '!B6</f>
        <v>338.64290348623854</v>
      </c>
      <c r="E31" s="171">
        <f t="shared" si="3"/>
        <v>1012.769416026552</v>
      </c>
      <c r="F31" s="171">
        <f t="shared" si="4"/>
        <v>17.264880783940452</v>
      </c>
      <c r="G31" s="171">
        <v>2</v>
      </c>
      <c r="I31" s="171" t="str">
        <f>'Fx  sollecitazioni e coppie'!J9</f>
        <v>Fx</v>
      </c>
    </row>
    <row r="32" spans="1:19" x14ac:dyDescent="0.25">
      <c r="A32" s="171">
        <f>'Fx  sollecitazioni e coppie'!K15</f>
        <v>1446.6434658855253</v>
      </c>
      <c r="B32" s="171">
        <f t="shared" si="2"/>
        <v>3.0138664353312636</v>
      </c>
      <c r="C32" s="171">
        <f>B32</f>
        <v>3.0138664353312636</v>
      </c>
      <c r="D32" s="171">
        <f>'masse di piano '!B7</f>
        <v>342.10238360856266</v>
      </c>
      <c r="E32" s="171">
        <f t="shared" si="3"/>
        <v>231.57439164579856</v>
      </c>
      <c r="F32" s="171">
        <f t="shared" si="4"/>
        <v>3.1074496747229063</v>
      </c>
      <c r="G32" s="171">
        <v>1</v>
      </c>
      <c r="I32" s="171">
        <f>'Fx  sollecitazioni e coppie'!J10</f>
        <v>415.14292660684248</v>
      </c>
    </row>
    <row r="33" spans="1:9" x14ac:dyDescent="0.25">
      <c r="A33" s="171"/>
      <c r="B33" s="171"/>
      <c r="C33" s="171"/>
      <c r="D33" s="171"/>
      <c r="E33" s="171">
        <f>SUM(E27:E32)</f>
        <v>20480.176786366163</v>
      </c>
      <c r="F33" s="171">
        <f>SUM(F27:F32)</f>
        <v>335.62628705795339</v>
      </c>
      <c r="G33" s="171" t="s">
        <v>332</v>
      </c>
      <c r="I33" s="171">
        <f>'Fx  sollecitazioni e coppie'!J11</f>
        <v>331.80010521390324</v>
      </c>
    </row>
    <row r="34" spans="1:9" x14ac:dyDescent="0.25">
      <c r="A34" s="171"/>
      <c r="B34" s="171"/>
      <c r="C34" s="171"/>
      <c r="D34" s="171"/>
      <c r="E34" s="171"/>
      <c r="F34" s="171" t="s">
        <v>333</v>
      </c>
      <c r="G34" s="171">
        <f>2*PI()*SQRT(F33/E33)</f>
        <v>0.80434247289280125</v>
      </c>
      <c r="I34" s="171">
        <f>'Fx  sollecitazioni e coppie'!J12</f>
        <v>273.40240197354456</v>
      </c>
    </row>
    <row r="35" spans="1:9" x14ac:dyDescent="0.25">
      <c r="I35" s="171">
        <f>'Fx  sollecitazioni e coppie'!J13</f>
        <v>207.62137292727823</v>
      </c>
    </row>
    <row r="36" spans="1:9" x14ac:dyDescent="0.25">
      <c r="A36" s="169" t="s">
        <v>321</v>
      </c>
      <c r="B36" s="169" t="s">
        <v>334</v>
      </c>
      <c r="C36" s="169" t="s">
        <v>335</v>
      </c>
      <c r="D36" s="169" t="s">
        <v>51</v>
      </c>
      <c r="E36" s="169" t="s">
        <v>330</v>
      </c>
      <c r="F36" s="169" t="s">
        <v>331</v>
      </c>
      <c r="I36" s="171">
        <f>'Fx  sollecitazioni e coppie'!J14</f>
        <v>141.84034388101185</v>
      </c>
    </row>
    <row r="37" spans="1:9" x14ac:dyDescent="0.25">
      <c r="A37" s="169">
        <v>6</v>
      </c>
      <c r="B37" s="169">
        <f>A27/F18</f>
        <v>1.3139902365439451</v>
      </c>
      <c r="C37" s="169">
        <f t="shared" ref="C37:C40" si="5">C38+B37</f>
        <v>13.83563575555814</v>
      </c>
      <c r="D37" s="169">
        <f>D27</f>
        <v>347.15442931702341</v>
      </c>
      <c r="E37" s="169">
        <f>I32*C37</f>
        <v>5743.7663190286785</v>
      </c>
      <c r="F37" s="169">
        <f>(D37*(C37^2))/1000</f>
        <v>66.453973019599829</v>
      </c>
      <c r="I37" s="171">
        <f>'Fx  sollecitazioni e coppie'!J15</f>
        <v>76.836315282945009</v>
      </c>
    </row>
    <row r="38" spans="1:9" x14ac:dyDescent="0.25">
      <c r="A38" s="169">
        <v>5</v>
      </c>
      <c r="B38" s="169">
        <f t="shared" ref="B38:B42" si="6">A28/F19</f>
        <v>1.9295515260264753</v>
      </c>
      <c r="C38" s="169">
        <f t="shared" si="5"/>
        <v>12.521645519014195</v>
      </c>
      <c r="D38" s="169">
        <f t="shared" ref="D38:D42" si="7">D28</f>
        <v>331.27134385321096</v>
      </c>
      <c r="E38" s="169">
        <f t="shared" ref="E38:E42" si="8">I33*C38</f>
        <v>4154.68330066011</v>
      </c>
      <c r="F38" s="169">
        <f t="shared" ref="F38:F42" si="9">(D38*(C38^2))/1000</f>
        <v>51.940566191433668</v>
      </c>
    </row>
    <row r="39" spans="1:9" x14ac:dyDescent="0.25">
      <c r="A39" s="169">
        <v>4</v>
      </c>
      <c r="B39" s="169">
        <f t="shared" si="6"/>
        <v>2.2261041209660113</v>
      </c>
      <c r="C39" s="169">
        <f t="shared" si="5"/>
        <v>10.592093992987719</v>
      </c>
      <c r="D39" s="169">
        <f t="shared" si="7"/>
        <v>338.64290348623854</v>
      </c>
      <c r="E39" s="169">
        <f t="shared" si="8"/>
        <v>2895.9039396123949</v>
      </c>
      <c r="F39" s="169">
        <f t="shared" si="9"/>
        <v>37.99317876337448</v>
      </c>
      <c r="G39" s="169" t="s">
        <v>233</v>
      </c>
      <c r="H39" s="169">
        <f>'[1]masse e forze'!B21</f>
        <v>0.7013114556897867</v>
      </c>
    </row>
    <row r="40" spans="1:9" x14ac:dyDescent="0.25">
      <c r="A40" s="169">
        <v>3</v>
      </c>
      <c r="B40" s="169">
        <f t="shared" si="6"/>
        <v>2.6790750252952753</v>
      </c>
      <c r="C40" s="169">
        <f t="shared" si="5"/>
        <v>8.3659898720217072</v>
      </c>
      <c r="D40" s="169">
        <f t="shared" si="7"/>
        <v>338.64290348623854</v>
      </c>
      <c r="E40" s="169">
        <f t="shared" si="8"/>
        <v>1736.9583031248515</v>
      </c>
      <c r="F40" s="169">
        <f t="shared" si="9"/>
        <v>23.70154452787105</v>
      </c>
    </row>
    <row r="41" spans="1:9" x14ac:dyDescent="0.25">
      <c r="A41" s="169">
        <v>2</v>
      </c>
      <c r="B41" s="169">
        <f t="shared" si="6"/>
        <v>2.9885303955796245</v>
      </c>
      <c r="C41" s="169">
        <f>C42+B41</f>
        <v>5.686914846726431</v>
      </c>
      <c r="D41" s="169">
        <f t="shared" si="7"/>
        <v>338.64290348623854</v>
      </c>
      <c r="E41" s="169">
        <f t="shared" si="8"/>
        <v>806.63395748170876</v>
      </c>
      <c r="F41" s="169">
        <f t="shared" si="9"/>
        <v>10.952050302137241</v>
      </c>
    </row>
    <row r="42" spans="1:9" x14ac:dyDescent="0.25">
      <c r="A42" s="169">
        <v>1</v>
      </c>
      <c r="B42" s="169">
        <f t="shared" si="6"/>
        <v>2.6983844511468069</v>
      </c>
      <c r="C42" s="169">
        <f>B42</f>
        <v>2.6983844511468069</v>
      </c>
      <c r="D42" s="169">
        <f t="shared" si="7"/>
        <v>342.10238360856266</v>
      </c>
      <c r="E42" s="169">
        <f t="shared" si="8"/>
        <v>207.33391844291259</v>
      </c>
      <c r="F42" s="169">
        <f t="shared" si="9"/>
        <v>2.4909427805800193</v>
      </c>
    </row>
    <row r="43" spans="1:9" x14ac:dyDescent="0.25">
      <c r="A43" s="169" t="s">
        <v>332</v>
      </c>
      <c r="E43" s="169">
        <f>SUM(E37:E42)</f>
        <v>15545.279738350657</v>
      </c>
      <c r="F43" s="169">
        <f>SUM(F37:F42)</f>
        <v>193.53225558499631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opLeftCell="A22" workbookViewId="0">
      <selection activeCell="I32" sqref="I32"/>
    </sheetView>
  </sheetViews>
  <sheetFormatPr defaultRowHeight="15" x14ac:dyDescent="0.25"/>
  <cols>
    <col min="1" max="21" width="9.140625" style="169"/>
  </cols>
  <sheetData>
    <row r="1" spans="1:18" x14ac:dyDescent="0.25">
      <c r="A1" s="169" t="s">
        <v>287</v>
      </c>
      <c r="D1" s="169" t="s">
        <v>288</v>
      </c>
      <c r="I1" s="169" t="s">
        <v>289</v>
      </c>
      <c r="O1" s="169" t="s">
        <v>290</v>
      </c>
    </row>
    <row r="2" spans="1:18" x14ac:dyDescent="0.25">
      <c r="A2" s="169" t="s">
        <v>291</v>
      </c>
      <c r="D2" s="169" t="s">
        <v>292</v>
      </c>
      <c r="E2" s="169" t="s">
        <v>293</v>
      </c>
      <c r="F2" s="169" t="s">
        <v>294</v>
      </c>
      <c r="G2" s="169" t="s">
        <v>295</v>
      </c>
      <c r="I2" s="169" t="s">
        <v>292</v>
      </c>
      <c r="J2" s="169" t="s">
        <v>293</v>
      </c>
      <c r="K2" s="169" t="s">
        <v>294</v>
      </c>
      <c r="L2" s="169" t="s">
        <v>295</v>
      </c>
      <c r="O2" s="169" t="s">
        <v>292</v>
      </c>
      <c r="P2" s="169" t="s">
        <v>293</v>
      </c>
      <c r="Q2" s="169" t="s">
        <v>294</v>
      </c>
      <c r="R2" s="169" t="s">
        <v>295</v>
      </c>
    </row>
    <row r="3" spans="1:18" x14ac:dyDescent="0.25">
      <c r="A3" s="169" t="s">
        <v>296</v>
      </c>
      <c r="D3" s="169" t="s">
        <v>297</v>
      </c>
      <c r="E3" s="169">
        <v>2</v>
      </c>
      <c r="F3" s="169">
        <v>11</v>
      </c>
      <c r="G3" s="169" t="s">
        <v>48</v>
      </c>
      <c r="I3" s="169" t="s">
        <v>297</v>
      </c>
      <c r="J3" s="169">
        <v>2</v>
      </c>
      <c r="K3" s="169">
        <v>11</v>
      </c>
      <c r="L3" s="169" t="s">
        <v>48</v>
      </c>
      <c r="O3" s="169" t="s">
        <v>298</v>
      </c>
      <c r="P3" s="169">
        <v>2</v>
      </c>
      <c r="Q3" s="169">
        <v>11</v>
      </c>
      <c r="R3" s="169" t="s">
        <v>48</v>
      </c>
    </row>
    <row r="4" spans="1:18" x14ac:dyDescent="0.25">
      <c r="A4" s="169" t="s">
        <v>299</v>
      </c>
      <c r="D4" s="169" t="s">
        <v>300</v>
      </c>
      <c r="E4" s="169" t="s">
        <v>48</v>
      </c>
      <c r="F4" s="169">
        <v>3</v>
      </c>
      <c r="G4" s="169">
        <v>9</v>
      </c>
      <c r="I4" s="169" t="s">
        <v>300</v>
      </c>
      <c r="J4" s="169" t="s">
        <v>48</v>
      </c>
      <c r="K4" s="169">
        <v>3</v>
      </c>
      <c r="L4" s="169">
        <v>9</v>
      </c>
      <c r="O4" s="169" t="s">
        <v>301</v>
      </c>
      <c r="P4" s="169" t="s">
        <v>48</v>
      </c>
      <c r="Q4" s="169">
        <v>3</v>
      </c>
      <c r="R4" s="169">
        <v>9</v>
      </c>
    </row>
    <row r="5" spans="1:18" x14ac:dyDescent="0.25">
      <c r="A5" s="169" t="s">
        <v>302</v>
      </c>
      <c r="D5" s="169" t="s">
        <v>303</v>
      </c>
      <c r="E5" s="169">
        <f>'[6]x p.tipo30x70 2 tr emerg'!$L$5</f>
        <v>32.124220207247788</v>
      </c>
      <c r="F5" s="169">
        <f>'[6]x p.tipo30x70 1 tr emer'!$L$5</f>
        <v>19.175840563420966</v>
      </c>
      <c r="G5" s="169" t="s">
        <v>48</v>
      </c>
      <c r="I5" s="169" t="s">
        <v>303</v>
      </c>
      <c r="J5" s="169">
        <f>'[7]x p.terra30x70 2 tr emerg'!$L$5</f>
        <v>37.824529120484691</v>
      </c>
      <c r="K5" s="169">
        <f>'[7]x p.terra30x70 1 tr emer'!$L$5</f>
        <v>30.123174952428801</v>
      </c>
      <c r="L5" s="169" t="s">
        <v>48</v>
      </c>
      <c r="O5" s="169" t="s">
        <v>304</v>
      </c>
    </row>
    <row r="6" spans="1:18" x14ac:dyDescent="0.25">
      <c r="A6" s="169" t="s">
        <v>305</v>
      </c>
      <c r="D6" s="169" t="s">
        <v>306</v>
      </c>
      <c r="E6" s="169" t="s">
        <v>48</v>
      </c>
      <c r="F6" s="169">
        <f>'[6]x p.tipo 70x30 1 tr emerg'!$L$5</f>
        <v>10.300838347113535</v>
      </c>
      <c r="G6" s="169">
        <f>'[6] x p.tipo 70x30 2 spess'!$L$5</f>
        <v>3.5852091840472422</v>
      </c>
      <c r="H6" s="169" t="s">
        <v>307</v>
      </c>
      <c r="I6" s="169" t="s">
        <v>306</v>
      </c>
      <c r="J6" s="169" t="s">
        <v>48</v>
      </c>
      <c r="K6" s="169">
        <f>'[7]x p.tipo 70x30 1 tr emerg'!$L$5</f>
        <v>9.0583298961183534</v>
      </c>
      <c r="L6" s="169">
        <f>'[7] x p.tipo 70x30 2 spess'!$L$5</f>
        <v>5.5734360701465597</v>
      </c>
      <c r="M6" s="169" t="s">
        <v>307</v>
      </c>
      <c r="O6" s="169" t="s">
        <v>308</v>
      </c>
    </row>
    <row r="7" spans="1:18" x14ac:dyDescent="0.25">
      <c r="A7" s="169" t="s">
        <v>309</v>
      </c>
      <c r="G7" s="169">
        <f>'[6]x p.tipo 70x30 1 spess'!$L$5</f>
        <v>1.9888322574175896</v>
      </c>
      <c r="H7" s="169" t="s">
        <v>310</v>
      </c>
      <c r="L7" s="169">
        <f>'[7]x p.tipo 70x30 1 spess'!$L$5</f>
        <v>4.4874313177713931</v>
      </c>
      <c r="M7" s="169" t="s">
        <v>310</v>
      </c>
      <c r="O7" s="169" t="s">
        <v>292</v>
      </c>
      <c r="P7" s="169" t="s">
        <v>293</v>
      </c>
      <c r="Q7" s="169" t="s">
        <v>294</v>
      </c>
      <c r="R7" s="169" t="s">
        <v>295</v>
      </c>
    </row>
    <row r="8" spans="1:18" x14ac:dyDescent="0.25">
      <c r="A8" s="169" t="s">
        <v>311</v>
      </c>
      <c r="D8" s="169" t="s">
        <v>312</v>
      </c>
      <c r="I8" s="169" t="s">
        <v>313</v>
      </c>
      <c r="O8" s="169" t="s">
        <v>298</v>
      </c>
      <c r="P8" s="169">
        <v>9</v>
      </c>
      <c r="Q8" s="169">
        <v>3</v>
      </c>
      <c r="R8" s="169" t="s">
        <v>48</v>
      </c>
    </row>
    <row r="9" spans="1:18" x14ac:dyDescent="0.25">
      <c r="A9" s="169" t="s">
        <v>314</v>
      </c>
      <c r="D9" s="169" t="s">
        <v>292</v>
      </c>
      <c r="E9" s="169" t="s">
        <v>293</v>
      </c>
      <c r="F9" s="169" t="s">
        <v>294</v>
      </c>
      <c r="G9" s="169" t="s">
        <v>295</v>
      </c>
      <c r="I9" s="169" t="s">
        <v>292</v>
      </c>
      <c r="J9" s="169" t="s">
        <v>293</v>
      </c>
      <c r="K9" s="169" t="s">
        <v>294</v>
      </c>
      <c r="L9" s="169" t="s">
        <v>295</v>
      </c>
      <c r="O9" s="169" t="s">
        <v>301</v>
      </c>
      <c r="P9" s="169">
        <v>1</v>
      </c>
      <c r="Q9" s="169">
        <v>11</v>
      </c>
      <c r="R9" s="169">
        <v>1</v>
      </c>
    </row>
    <row r="10" spans="1:18" x14ac:dyDescent="0.25">
      <c r="A10" s="169" t="s">
        <v>315</v>
      </c>
      <c r="D10" s="169" t="s">
        <v>297</v>
      </c>
      <c r="E10" s="169">
        <v>9</v>
      </c>
      <c r="F10" s="169">
        <v>3</v>
      </c>
      <c r="G10" s="169" t="s">
        <v>48</v>
      </c>
      <c r="I10" s="169" t="s">
        <v>297</v>
      </c>
      <c r="J10" s="169">
        <v>9</v>
      </c>
      <c r="K10" s="169">
        <v>3</v>
      </c>
      <c r="L10" s="169" t="s">
        <v>48</v>
      </c>
    </row>
    <row r="11" spans="1:18" x14ac:dyDescent="0.25">
      <c r="D11" s="169" t="s">
        <v>300</v>
      </c>
      <c r="E11" s="169">
        <v>1</v>
      </c>
      <c r="F11" s="169">
        <v>11</v>
      </c>
      <c r="G11" s="169">
        <v>1</v>
      </c>
      <c r="I11" s="169" t="s">
        <v>300</v>
      </c>
      <c r="J11" s="169">
        <v>1</v>
      </c>
      <c r="K11" s="169">
        <v>11</v>
      </c>
      <c r="L11" s="169">
        <v>1</v>
      </c>
    </row>
    <row r="12" spans="1:18" x14ac:dyDescent="0.25">
      <c r="D12" s="169" t="s">
        <v>303</v>
      </c>
      <c r="E12" s="169">
        <f>'[8]y 30x80 2 tr emerg'!$L$5</f>
        <v>30.832326920475296</v>
      </c>
      <c r="F12" s="169">
        <f>'[8]y 30x80 1 tr emerg'!$L$5</f>
        <v>18.262300425358582</v>
      </c>
      <c r="G12" s="169" t="s">
        <v>48</v>
      </c>
      <c r="I12" s="169" t="s">
        <v>303</v>
      </c>
      <c r="J12" s="169">
        <f>'[7]y 30x70 2 tr emerg'!$L$5</f>
        <v>37.110254290115428</v>
      </c>
      <c r="K12" s="169">
        <f>'[7]y 30x70 1 tr emerg'!$L$5</f>
        <v>29.530584436482165</v>
      </c>
      <c r="L12" s="169" t="s">
        <v>48</v>
      </c>
    </row>
    <row r="13" spans="1:18" x14ac:dyDescent="0.25">
      <c r="D13" s="169" t="s">
        <v>306</v>
      </c>
      <c r="E13" s="169">
        <f>'[8]y 80x30 2 tr emerg'!$L$5</f>
        <v>12.925906090782766</v>
      </c>
      <c r="F13" s="169">
        <f>'[8]y 80x30 1 tr emerg'!$L$5</f>
        <v>10.031283698777857</v>
      </c>
      <c r="G13" s="169">
        <f>'[8]y 80x30 1 tr spess'!$L$5</f>
        <v>2.8068958138180466</v>
      </c>
      <c r="I13" s="169" t="s">
        <v>306</v>
      </c>
      <c r="J13" s="169">
        <f>'[7]y 70x30 2 tr emerg'!$L$5</f>
        <v>10.08272882530783</v>
      </c>
      <c r="K13" s="169">
        <f>'[7]y 70x30 1 tr emerg'!$L$5</f>
        <v>8.9443829065549689</v>
      </c>
      <c r="L13" s="169">
        <f>'[7]y 70x30 1 tr spess'!$L$5</f>
        <v>5.0596785086392035</v>
      </c>
    </row>
    <row r="14" spans="1:18" x14ac:dyDescent="0.25">
      <c r="A14" s="169" t="s">
        <v>316</v>
      </c>
    </row>
    <row r="15" spans="1:18" x14ac:dyDescent="0.25">
      <c r="A15" s="169" t="s">
        <v>317</v>
      </c>
      <c r="B15" s="169">
        <v>5</v>
      </c>
      <c r="I15" s="169" t="s">
        <v>318</v>
      </c>
      <c r="O15" s="169" t="s">
        <v>319</v>
      </c>
    </row>
    <row r="16" spans="1:18" x14ac:dyDescent="0.25">
      <c r="A16" s="169" t="s">
        <v>320</v>
      </c>
      <c r="B16" s="169">
        <v>4</v>
      </c>
      <c r="I16" s="169" t="s">
        <v>292</v>
      </c>
      <c r="J16" s="169" t="s">
        <v>293</v>
      </c>
      <c r="K16" s="169" t="s">
        <v>294</v>
      </c>
      <c r="L16" s="169" t="s">
        <v>295</v>
      </c>
      <c r="O16" s="169" t="s">
        <v>292</v>
      </c>
      <c r="P16" s="169" t="s">
        <v>293</v>
      </c>
      <c r="Q16" s="169" t="s">
        <v>294</v>
      </c>
      <c r="R16" s="169" t="s">
        <v>295</v>
      </c>
    </row>
    <row r="17" spans="1:18" x14ac:dyDescent="0.25">
      <c r="D17" s="169" t="s">
        <v>321</v>
      </c>
      <c r="E17" s="169" t="s">
        <v>322</v>
      </c>
      <c r="F17" s="169" t="s">
        <v>323</v>
      </c>
      <c r="I17" s="169" t="s">
        <v>297</v>
      </c>
      <c r="J17" s="169">
        <v>2</v>
      </c>
      <c r="K17" s="169">
        <v>11</v>
      </c>
      <c r="L17" s="169" t="s">
        <v>48</v>
      </c>
      <c r="O17" s="169" t="s">
        <v>297</v>
      </c>
      <c r="P17" s="169">
        <v>2</v>
      </c>
      <c r="Q17" s="169">
        <v>11</v>
      </c>
      <c r="R17" s="169" t="s">
        <v>48</v>
      </c>
    </row>
    <row r="18" spans="1:18" x14ac:dyDescent="0.25">
      <c r="A18" s="169" t="s">
        <v>324</v>
      </c>
      <c r="B18" s="169">
        <v>19</v>
      </c>
      <c r="D18" s="169">
        <v>6</v>
      </c>
      <c r="E18" s="169">
        <f>(J17*J19)+(K17*K19)+(K18*K20)+(B15*L20)+(B16*L21)</f>
        <v>225.3754247758705</v>
      </c>
      <c r="F18" s="169">
        <f>(J24*J26)+(K24*K26)+(J25*J27)+(K25*K27)+(L25*L27)</f>
        <v>315.94064785348081</v>
      </c>
      <c r="I18" s="169" t="s">
        <v>300</v>
      </c>
      <c r="J18" s="169" t="s">
        <v>48</v>
      </c>
      <c r="K18" s="169">
        <v>3</v>
      </c>
      <c r="L18" s="169">
        <v>9</v>
      </c>
      <c r="O18" s="169" t="s">
        <v>300</v>
      </c>
      <c r="P18" s="169" t="s">
        <v>48</v>
      </c>
      <c r="Q18" s="169">
        <v>3</v>
      </c>
      <c r="R18" s="169">
        <v>9</v>
      </c>
    </row>
    <row r="19" spans="1:18" x14ac:dyDescent="0.25">
      <c r="A19" s="169" t="s">
        <v>325</v>
      </c>
      <c r="B19" s="169">
        <v>20</v>
      </c>
      <c r="D19" s="169">
        <v>5</v>
      </c>
      <c r="E19" s="169">
        <f>($E$3*$P$19)+($F$3*$Q$19)+($F$4*$Q$20)+($B$15*$G$6)+($B$16*$G$7)</f>
        <v>275.55959059488424</v>
      </c>
      <c r="F19" s="169">
        <f>($E$10*$P$26)+($F$10*$Q$26)+($E$11*$P$27)+($F$11*$Q$27)+($G$11*$R$27)</f>
        <v>387.10706697681468</v>
      </c>
      <c r="I19" s="169" t="s">
        <v>303</v>
      </c>
      <c r="J19" s="169">
        <f>'[9]x terr 2 tr emerg 30x70'!$L$5</f>
        <v>21.53707100714005</v>
      </c>
      <c r="K19" s="169">
        <f>'[9]x terr 1 tr emerg 30x70'!$L$5</f>
        <v>12.084041590728967</v>
      </c>
      <c r="L19" s="169" t="s">
        <v>48</v>
      </c>
      <c r="O19" s="169" t="s">
        <v>303</v>
      </c>
      <c r="P19" s="169">
        <f>'[10]x p.4 30x80 2 tr emerg'!$L$5</f>
        <v>26.46333620453073</v>
      </c>
      <c r="Q19" s="169">
        <f>'[11]x p.4 30x70 1 tr emer'!$L$5</f>
        <v>15.436768653433358</v>
      </c>
      <c r="R19" s="169" t="s">
        <v>48</v>
      </c>
    </row>
    <row r="20" spans="1:18" x14ac:dyDescent="0.25">
      <c r="A20" s="169" t="str">
        <f>'[1]masse e forze'!A25</f>
        <v>N pilastri =</v>
      </c>
      <c r="B20" s="169">
        <f>'[1]masse e forze'!B25</f>
        <v>27</v>
      </c>
      <c r="D20" s="169">
        <v>4</v>
      </c>
      <c r="E20" s="169">
        <f>($E$3*$E$5)+($F$3*$F$5)+($F$4*$F$6)+($B$15*$G$6)+($B$16*$G$7)</f>
        <v>331.96657660337337</v>
      </c>
      <c r="F20" s="169">
        <f t="shared" ref="F20:F22" si="0">($E$10*$E$12)+($F$10*$F$12)+($E$11*$E$13)+($F$11*$F$13)+($G$11*$G$13)</f>
        <v>458.35476615151066</v>
      </c>
      <c r="I20" s="169" t="s">
        <v>306</v>
      </c>
      <c r="J20" s="169" t="s">
        <v>48</v>
      </c>
      <c r="K20" s="169">
        <f>'[9]70x30 1 trav emerg x terr'!$L$5</f>
        <v>7.8318167712217353</v>
      </c>
      <c r="L20" s="169">
        <f>'[9]x terr 70x30 2 sp'!$L$5</f>
        <v>3.5852091840472422</v>
      </c>
      <c r="M20" s="169" t="s">
        <v>307</v>
      </c>
      <c r="O20" s="169" t="s">
        <v>306</v>
      </c>
      <c r="P20" s="169" t="s">
        <v>48</v>
      </c>
      <c r="Q20" s="169">
        <f>'[10]x p.4 80x30 1 tr emerg'!$L$5</f>
        <v>8.982362682716424</v>
      </c>
      <c r="R20" s="169">
        <f>'[10] x p.4 80x30 2 spess'!$L$5</f>
        <v>3.5852091840472422</v>
      </c>
    </row>
    <row r="21" spans="1:18" x14ac:dyDescent="0.25">
      <c r="A21" s="169" t="str">
        <f>'[1]masse e forze'!A26</f>
        <v>direzione x=</v>
      </c>
      <c r="B21" s="169">
        <f>'[1]masse e forze'!B26</f>
        <v>13</v>
      </c>
      <c r="D21" s="169">
        <v>3</v>
      </c>
      <c r="E21" s="169">
        <f>($E$3*$E$5)+($F$3*$F$5)+($F$4*$F$6)+($B$15*$G$6)+($B$16*$G$7)</f>
        <v>331.96657660337337</v>
      </c>
      <c r="F21" s="169">
        <f t="shared" si="0"/>
        <v>458.35476615151066</v>
      </c>
      <c r="L21" s="169">
        <f>'[9]x 70x30 1 sp'!$L$5</f>
        <v>1.9888322574175896</v>
      </c>
      <c r="M21" s="169" t="s">
        <v>310</v>
      </c>
      <c r="R21" s="169">
        <f>'[10]x p.4 80x30 1 spess'!$L$5</f>
        <v>1.9888322574175896</v>
      </c>
    </row>
    <row r="22" spans="1:18" x14ac:dyDescent="0.25">
      <c r="A22" s="169" t="str">
        <f>'[1]masse e forze'!A27</f>
        <v>direzione y=</v>
      </c>
      <c r="B22" s="169">
        <f>'[1]masse e forze'!B27</f>
        <v>12</v>
      </c>
      <c r="D22" s="169">
        <v>2</v>
      </c>
      <c r="E22" s="169">
        <f>($E$3*$E$5)+($F$3*$F$5)+($F$4*$F$6)+($B$15*$G$6)+($B$16*$G$7)</f>
        <v>331.96657660337337</v>
      </c>
      <c r="F22" s="169">
        <f t="shared" si="0"/>
        <v>458.35476615151066</v>
      </c>
      <c r="I22" s="169" t="s">
        <v>326</v>
      </c>
      <c r="O22" s="169" t="s">
        <v>327</v>
      </c>
    </row>
    <row r="23" spans="1:18" x14ac:dyDescent="0.25">
      <c r="D23" s="169">
        <v>1</v>
      </c>
      <c r="E23" s="169">
        <f>(J3*J5)+(K3*K5)+(K4*K6)+(L6*B15)+(L7*B16)</f>
        <v>479.99587802785965</v>
      </c>
      <c r="F23" s="169">
        <f>(J10*J12)+(K10*K12)+(J11*J13)+(K11*K13)+(L11*L13)</f>
        <v>536.11466122653701</v>
      </c>
      <c r="I23" s="169" t="s">
        <v>292</v>
      </c>
      <c r="J23" s="169" t="s">
        <v>293</v>
      </c>
      <c r="K23" s="169" t="s">
        <v>294</v>
      </c>
      <c r="L23" s="169" t="s">
        <v>295</v>
      </c>
      <c r="O23" s="169" t="s">
        <v>292</v>
      </c>
      <c r="P23" s="169" t="s">
        <v>293</v>
      </c>
      <c r="Q23" s="169" t="s">
        <v>294</v>
      </c>
      <c r="R23" s="169" t="s">
        <v>295</v>
      </c>
    </row>
    <row r="24" spans="1:18" x14ac:dyDescent="0.25">
      <c r="I24" s="169" t="s">
        <v>297</v>
      </c>
      <c r="J24" s="169">
        <v>9</v>
      </c>
      <c r="K24" s="169">
        <v>3</v>
      </c>
      <c r="L24" s="169" t="s">
        <v>48</v>
      </c>
      <c r="O24" s="169" t="s">
        <v>297</v>
      </c>
      <c r="P24" s="169">
        <v>9</v>
      </c>
      <c r="Q24" s="169">
        <v>3</v>
      </c>
      <c r="R24" s="169" t="s">
        <v>48</v>
      </c>
    </row>
    <row r="25" spans="1:18" x14ac:dyDescent="0.25">
      <c r="I25" s="169" t="s">
        <v>300</v>
      </c>
      <c r="J25" s="169">
        <v>1</v>
      </c>
      <c r="K25" s="169">
        <v>11</v>
      </c>
      <c r="L25" s="169">
        <v>1</v>
      </c>
      <c r="O25" s="169" t="s">
        <v>300</v>
      </c>
      <c r="P25" s="169">
        <v>1</v>
      </c>
      <c r="Q25" s="169">
        <v>11</v>
      </c>
      <c r="R25" s="169">
        <v>1</v>
      </c>
    </row>
    <row r="26" spans="1:18" x14ac:dyDescent="0.25">
      <c r="A26" s="171" t="str">
        <f>'Fy sollecitazioni e coppie'!K9</f>
        <v>V</v>
      </c>
      <c r="B26" s="169" t="s">
        <v>328</v>
      </c>
      <c r="C26" s="169" t="s">
        <v>329</v>
      </c>
      <c r="D26" s="169" t="str">
        <f>'masse di piano '!B1</f>
        <v>massa</v>
      </c>
      <c r="E26" s="169" t="s">
        <v>330</v>
      </c>
      <c r="F26" s="169" t="s">
        <v>331</v>
      </c>
      <c r="G26" s="169" t="s">
        <v>321</v>
      </c>
      <c r="I26" s="169" t="s">
        <v>303</v>
      </c>
      <c r="J26" s="169">
        <f>'[9] y 30x70 2 tr emetg'!$L$5</f>
        <v>20.540016477892124</v>
      </c>
      <c r="K26" s="169">
        <f>'[9]y 30x70 1 tr emerg'!$L$5</f>
        <v>11.459802688385174</v>
      </c>
      <c r="L26" s="169" t="s">
        <v>48</v>
      </c>
      <c r="O26" s="169" t="s">
        <v>303</v>
      </c>
      <c r="P26" s="169">
        <f>'[10]y 30x80 2 tr emerg'!$L$5</f>
        <v>25.333748699753201</v>
      </c>
      <c r="Q26" s="169">
        <f>'[10]y 30x80 1 tr emerg'!$L$5</f>
        <v>14.681193488833213</v>
      </c>
      <c r="R26" s="169" t="s">
        <v>48</v>
      </c>
    </row>
    <row r="27" spans="1:18" x14ac:dyDescent="0.25">
      <c r="A27" s="171">
        <f>'Fy sollecitazioni e coppie'!K10</f>
        <v>476.53603869058878</v>
      </c>
      <c r="B27" s="169">
        <f>A27/E18</f>
        <v>2.1144099413877551</v>
      </c>
      <c r="C27" s="169">
        <f t="shared" ref="C27:C30" si="1">C28+B27</f>
        <v>21.196326585002275</v>
      </c>
      <c r="D27" s="169">
        <f>'masse di piano '!B2</f>
        <v>347.15442931702341</v>
      </c>
      <c r="E27" s="169">
        <f>I32*C27</f>
        <v>10100.813505609</v>
      </c>
      <c r="F27" s="169">
        <f>(D27*(C27^2))/1000</f>
        <v>155.97102112376072</v>
      </c>
      <c r="G27" s="169">
        <v>6</v>
      </c>
      <c r="I27" s="169" t="s">
        <v>306</v>
      </c>
      <c r="J27" s="169">
        <f>'[9]y 70x30 2 tr emerg'!$L$5</f>
        <v>10.681937318567646</v>
      </c>
      <c r="K27" s="169">
        <f>'[9]y 70x 30 1 tr emergente'!$L$5</f>
        <v>7.5647507595373149</v>
      </c>
      <c r="L27" s="169">
        <f>'[9]y 70x30 1 sp'!$L$5</f>
        <v>2.8068958138180466</v>
      </c>
      <c r="O27" s="169" t="s">
        <v>306</v>
      </c>
      <c r="P27" s="169">
        <f>'[10]y 80x30 2 tr emerg'!$L$5</f>
        <v>11.743655791615245</v>
      </c>
      <c r="Q27" s="169">
        <f>'[10]y 80x30 1 tr emerg'!$L$5</f>
        <v>8.7129642430861924</v>
      </c>
      <c r="R27" s="169">
        <f>'[10]y 80x30 1 tr spess'!$L$5</f>
        <v>7.4734857469728491</v>
      </c>
    </row>
    <row r="28" spans="1:18" x14ac:dyDescent="0.25">
      <c r="A28" s="171">
        <f>'Fy sollecitazioni e coppie'!K11</f>
        <v>857.40416299683568</v>
      </c>
      <c r="B28" s="169">
        <f t="shared" ref="B28:B32" si="2">A28/E19</f>
        <v>3.1115018030976613</v>
      </c>
      <c r="C28" s="169">
        <f t="shared" si="1"/>
        <v>19.08191664361452</v>
      </c>
      <c r="D28" s="169">
        <f>'masse di piano '!B3</f>
        <v>331.27134385321096</v>
      </c>
      <c r="E28" s="169">
        <f t="shared" ref="E28:E32" si="3">I33*C28</f>
        <v>7267.6938002216166</v>
      </c>
      <c r="F28" s="169">
        <f t="shared" ref="F28:F32" si="4">(D28*(C28^2))/1000</f>
        <v>120.62237026453639</v>
      </c>
      <c r="G28" s="169">
        <v>5</v>
      </c>
    </row>
    <row r="29" spans="1:18" x14ac:dyDescent="0.25">
      <c r="A29" s="171">
        <f>'Fy sollecitazioni e coppie'!K12</f>
        <v>1171.2384818658918</v>
      </c>
      <c r="B29" s="169">
        <f t="shared" si="2"/>
        <v>3.5281819448506186</v>
      </c>
      <c r="C29" s="169">
        <f t="shared" si="1"/>
        <v>15.97041484051686</v>
      </c>
      <c r="D29" s="169">
        <f>'masse di piano '!B4</f>
        <v>338.64290348623854</v>
      </c>
      <c r="E29" s="169">
        <f t="shared" si="3"/>
        <v>5012.0642635298736</v>
      </c>
      <c r="F29" s="169">
        <f t="shared" si="4"/>
        <v>86.372277962561157</v>
      </c>
      <c r="G29" s="169">
        <v>4</v>
      </c>
    </row>
    <row r="30" spans="1:18" x14ac:dyDescent="0.25">
      <c r="A30" s="171">
        <f>'Fy sollecitazioni e coppie'!K13</f>
        <v>1409.5637916837463</v>
      </c>
      <c r="B30" s="169">
        <f t="shared" si="2"/>
        <v>4.2461015386132175</v>
      </c>
      <c r="C30" s="169">
        <f t="shared" si="1"/>
        <v>12.44223289566624</v>
      </c>
      <c r="D30" s="169">
        <f>'masse di piano '!B5</f>
        <v>338.64290348623854</v>
      </c>
      <c r="E30" s="169">
        <f t="shared" si="3"/>
        <v>2965.2990096855592</v>
      </c>
      <c r="F30" s="169">
        <f t="shared" si="4"/>
        <v>52.425023235638903</v>
      </c>
      <c r="G30" s="169">
        <v>3</v>
      </c>
    </row>
    <row r="31" spans="1:18" x14ac:dyDescent="0.25">
      <c r="A31" s="171">
        <f>'Fy sollecitazioni e coppie'!K14</f>
        <v>1572.3800924503994</v>
      </c>
      <c r="B31" s="169">
        <f t="shared" si="2"/>
        <v>4.7365614591044984</v>
      </c>
      <c r="C31" s="169">
        <f>C32+B31</f>
        <v>8.196131357053023</v>
      </c>
      <c r="D31" s="169">
        <f>'masse di piano '!B6</f>
        <v>338.64290348623854</v>
      </c>
      <c r="E31" s="169">
        <f t="shared" si="3"/>
        <v>1334.463788152942</v>
      </c>
      <c r="F31" s="169">
        <f t="shared" si="4"/>
        <v>22.748868447605339</v>
      </c>
      <c r="G31" s="169">
        <v>2</v>
      </c>
      <c r="I31" s="171" t="str">
        <f>'Fy sollecitazioni e coppie'!J9</f>
        <v>Fy</v>
      </c>
    </row>
    <row r="32" spans="1:18" x14ac:dyDescent="0.25">
      <c r="A32" s="171">
        <f>'Fy sollecitazioni e coppie'!K15</f>
        <v>1660.5792907645548</v>
      </c>
      <c r="B32" s="169">
        <f t="shared" si="2"/>
        <v>3.4595698979485245</v>
      </c>
      <c r="C32" s="169">
        <f>B32</f>
        <v>3.4595698979485245</v>
      </c>
      <c r="D32" s="169">
        <f>'masse di piano '!B7</f>
        <v>342.10238360856266</v>
      </c>
      <c r="E32" s="169">
        <f t="shared" si="3"/>
        <v>305.13129151084433</v>
      </c>
      <c r="F32" s="169">
        <f t="shared" si="4"/>
        <v>4.0944947574489552</v>
      </c>
      <c r="G32" s="169">
        <v>1</v>
      </c>
      <c r="I32" s="171">
        <f>'Fy sollecitazioni e coppie'!J10</f>
        <v>476.53603869058878</v>
      </c>
    </row>
    <row r="33" spans="1:9" x14ac:dyDescent="0.25">
      <c r="E33" s="169">
        <f>SUM(E27:E32)</f>
        <v>26985.465658709829</v>
      </c>
      <c r="F33" s="169">
        <f>SUM(F27:F32)</f>
        <v>442.23405579155144</v>
      </c>
      <c r="G33" s="169" t="s">
        <v>332</v>
      </c>
      <c r="I33" s="171">
        <f>'Fy sollecitazioni e coppie'!J11</f>
        <v>380.8681243062469</v>
      </c>
    </row>
    <row r="34" spans="1:9" x14ac:dyDescent="0.25">
      <c r="F34" s="169" t="s">
        <v>333</v>
      </c>
      <c r="G34" s="169">
        <f>2*PI()*SQRT(F33/E33)</f>
        <v>0.80434247289280147</v>
      </c>
      <c r="I34" s="171">
        <f>'Fy sollecitazioni e coppie'!J12</f>
        <v>313.83431886905606</v>
      </c>
    </row>
    <row r="35" spans="1:9" x14ac:dyDescent="0.25">
      <c r="A35" s="171"/>
      <c r="B35" s="171"/>
      <c r="C35" s="171"/>
      <c r="D35" s="171"/>
      <c r="E35" s="171"/>
      <c r="F35" s="171"/>
      <c r="G35" s="171"/>
      <c r="I35" s="171">
        <f>'Fy sollecitazioni e coppie'!J13</f>
        <v>238.32530981785462</v>
      </c>
    </row>
    <row r="36" spans="1:9" x14ac:dyDescent="0.25">
      <c r="A36" s="171" t="s">
        <v>321</v>
      </c>
      <c r="B36" s="171" t="s">
        <v>334</v>
      </c>
      <c r="C36" s="171" t="s">
        <v>335</v>
      </c>
      <c r="D36" s="171" t="s">
        <v>51</v>
      </c>
      <c r="E36" s="171" t="s">
        <v>330</v>
      </c>
      <c r="F36" s="171" t="s">
        <v>331</v>
      </c>
      <c r="G36" s="171"/>
      <c r="I36" s="171">
        <f>'Fy sollecitazioni e coppie'!J14</f>
        <v>162.81630076665314</v>
      </c>
    </row>
    <row r="37" spans="1:9" x14ac:dyDescent="0.25">
      <c r="A37" s="171">
        <v>6</v>
      </c>
      <c r="B37" s="171">
        <f>A27/F18</f>
        <v>1.5083087343404606</v>
      </c>
      <c r="C37" s="171">
        <f t="shared" ref="C37:C40" si="5">C38+B37</f>
        <v>15.881708763795364</v>
      </c>
      <c r="D37" s="171">
        <f>D27</f>
        <v>347.15442931702341</v>
      </c>
      <c r="E37" s="171">
        <f>I32*C37</f>
        <v>7568.2065819366508</v>
      </c>
      <c r="F37" s="171">
        <f>(D37*(C37^2))/1000</f>
        <v>87.562301122275983</v>
      </c>
      <c r="G37" s="171"/>
      <c r="I37" s="171">
        <f>'Fy sollecitazioni e coppie'!J15</f>
        <v>88.19919831415541</v>
      </c>
    </row>
    <row r="38" spans="1:9" x14ac:dyDescent="0.25">
      <c r="A38" s="171">
        <v>5</v>
      </c>
      <c r="B38" s="171">
        <f t="shared" ref="B38:B42" si="6">A28/F19</f>
        <v>2.2149018608544</v>
      </c>
      <c r="C38" s="171">
        <f t="shared" si="5"/>
        <v>14.373400029454904</v>
      </c>
      <c r="D38" s="171">
        <f t="shared" ref="D38:D42" si="7">D28</f>
        <v>331.27134385321096</v>
      </c>
      <c r="E38" s="171">
        <f t="shared" ref="E38:E42" si="8">I33*C38</f>
        <v>5474.3699091218432</v>
      </c>
      <c r="F38" s="171">
        <f t="shared" ref="F38:F42" si="9">(D38*(C38^2))/1000</f>
        <v>68.438880185153607</v>
      </c>
      <c r="G38" s="171"/>
    </row>
    <row r="39" spans="1:9" x14ac:dyDescent="0.25">
      <c r="A39" s="171">
        <v>4</v>
      </c>
      <c r="B39" s="171">
        <f t="shared" si="6"/>
        <v>2.5553099222682349</v>
      </c>
      <c r="C39" s="171">
        <f t="shared" si="5"/>
        <v>12.158498168600504</v>
      </c>
      <c r="D39" s="171">
        <f t="shared" si="7"/>
        <v>338.64290348623854</v>
      </c>
      <c r="E39" s="171">
        <f t="shared" si="8"/>
        <v>3815.7539912134048</v>
      </c>
      <c r="F39" s="171">
        <f t="shared" si="9"/>
        <v>50.061268097392244</v>
      </c>
      <c r="G39" s="171" t="s">
        <v>233</v>
      </c>
      <c r="H39" s="169">
        <f>'[1]masse e forze'!B21</f>
        <v>0.7013114556897867</v>
      </c>
    </row>
    <row r="40" spans="1:9" x14ac:dyDescent="0.25">
      <c r="A40" s="171">
        <v>3</v>
      </c>
      <c r="B40" s="171">
        <f t="shared" si="6"/>
        <v>3.0752681018654675</v>
      </c>
      <c r="C40" s="171">
        <f t="shared" si="5"/>
        <v>9.6031882463322695</v>
      </c>
      <c r="D40" s="171">
        <f t="shared" si="7"/>
        <v>338.64290348623854</v>
      </c>
      <c r="E40" s="171">
        <f t="shared" si="8"/>
        <v>2288.6828140463181</v>
      </c>
      <c r="F40" s="171">
        <f t="shared" si="9"/>
        <v>31.230063225871753</v>
      </c>
      <c r="G40" s="171"/>
    </row>
    <row r="41" spans="1:9" x14ac:dyDescent="0.25">
      <c r="A41" s="171">
        <v>2</v>
      </c>
      <c r="B41" s="171">
        <f t="shared" si="6"/>
        <v>3.4304870562437744</v>
      </c>
      <c r="C41" s="171">
        <f>C42+B41</f>
        <v>6.527920144466802</v>
      </c>
      <c r="D41" s="171">
        <f t="shared" si="7"/>
        <v>338.64290348623854</v>
      </c>
      <c r="E41" s="171">
        <f t="shared" si="8"/>
        <v>1062.8518096222006</v>
      </c>
      <c r="F41" s="171">
        <f t="shared" si="9"/>
        <v>14.430841120352778</v>
      </c>
      <c r="G41" s="171"/>
    </row>
    <row r="42" spans="1:9" x14ac:dyDescent="0.25">
      <c r="A42" s="171">
        <v>1</v>
      </c>
      <c r="B42" s="171">
        <f t="shared" si="6"/>
        <v>3.0974330882230277</v>
      </c>
      <c r="C42" s="171">
        <f>B42</f>
        <v>3.0974330882230277</v>
      </c>
      <c r="D42" s="171">
        <f t="shared" si="7"/>
        <v>342.10238360856266</v>
      </c>
      <c r="E42" s="171">
        <f t="shared" si="8"/>
        <v>273.19111521300965</v>
      </c>
      <c r="F42" s="171">
        <f t="shared" si="9"/>
        <v>3.282161651451259</v>
      </c>
      <c r="G42" s="171"/>
    </row>
    <row r="43" spans="1:9" x14ac:dyDescent="0.25">
      <c r="A43" s="171" t="s">
        <v>332</v>
      </c>
      <c r="B43" s="171"/>
      <c r="C43" s="171"/>
      <c r="D43" s="171"/>
      <c r="E43" s="171">
        <f>SUM(E37:E42)</f>
        <v>20483.056221153427</v>
      </c>
      <c r="F43" s="171">
        <f>SUM(F37:F42)</f>
        <v>255.00551540249762</v>
      </c>
      <c r="G43" s="171"/>
    </row>
    <row r="44" spans="1:9" x14ac:dyDescent="0.25">
      <c r="A44" s="171"/>
      <c r="B44" s="171"/>
      <c r="C44" s="171"/>
      <c r="D44" s="171"/>
      <c r="E44" s="171"/>
      <c r="F44" s="171" t="s">
        <v>336</v>
      </c>
      <c r="G44" s="171">
        <f>2*PI()*SQRT(F43/E43)</f>
        <v>0.70106337084554227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opLeftCell="A17" zoomScale="70" zoomScaleNormal="70" workbookViewId="0">
      <selection activeCell="B20" sqref="B20"/>
    </sheetView>
  </sheetViews>
  <sheetFormatPr defaultRowHeight="15" x14ac:dyDescent="0.25"/>
  <cols>
    <col min="1" max="1" width="14.42578125" customWidth="1"/>
    <col min="2" max="2" width="13" customWidth="1"/>
    <col min="3" max="3" width="12.7109375" customWidth="1"/>
    <col min="4" max="4" width="13.42578125" customWidth="1"/>
    <col min="5" max="5" width="13.5703125" customWidth="1"/>
    <col min="6" max="6" width="14.42578125" customWidth="1"/>
    <col min="7" max="7" width="13" customWidth="1"/>
    <col min="8" max="8" width="14.42578125" customWidth="1"/>
    <col min="9" max="9" width="12.28515625" customWidth="1"/>
    <col min="10" max="10" width="14.85546875" customWidth="1"/>
    <col min="11" max="11" width="13" customWidth="1"/>
    <col min="12" max="12" width="15.42578125" customWidth="1"/>
    <col min="13" max="13" width="15.85546875" customWidth="1"/>
    <col min="14" max="14" width="13.42578125" customWidth="1"/>
    <col min="15" max="15" width="16.5703125" customWidth="1"/>
    <col min="16" max="16" width="13.28515625" customWidth="1"/>
    <col min="17" max="17" width="13.42578125" customWidth="1"/>
    <col min="18" max="18" width="9.42578125" bestFit="1" customWidth="1"/>
  </cols>
  <sheetData>
    <row r="1" spans="1:18" x14ac:dyDescent="0.25">
      <c r="B1" s="281" t="s">
        <v>342</v>
      </c>
      <c r="C1" s="281"/>
      <c r="D1" s="281"/>
      <c r="I1" s="175" t="s">
        <v>214</v>
      </c>
      <c r="J1" s="32" t="s">
        <v>346</v>
      </c>
      <c r="K1" s="32" t="s">
        <v>350</v>
      </c>
      <c r="L1" s="32" t="str">
        <f>'Fx  sollecitazioni e coppie'!J9</f>
        <v>Fx</v>
      </c>
      <c r="M1" s="32" t="str">
        <f>'Fy sollecitazioni e coppie'!J9</f>
        <v>Fy</v>
      </c>
      <c r="N1" s="32" t="str">
        <f>'masse di piano '!B1</f>
        <v>massa</v>
      </c>
      <c r="O1" s="32" t="s">
        <v>351</v>
      </c>
      <c r="P1" s="32" t="s">
        <v>353</v>
      </c>
      <c r="Q1" s="32" t="s">
        <v>352</v>
      </c>
      <c r="R1" s="32" t="s">
        <v>354</v>
      </c>
    </row>
    <row r="2" spans="1:18" x14ac:dyDescent="0.25">
      <c r="B2" s="32" t="s">
        <v>343</v>
      </c>
      <c r="C2" s="11" t="s">
        <v>344</v>
      </c>
      <c r="D2" s="32" t="s">
        <v>345</v>
      </c>
      <c r="I2" s="177" t="s">
        <v>202</v>
      </c>
      <c r="J2" s="159">
        <f>C3</f>
        <v>19.08192</v>
      </c>
      <c r="K2" s="159">
        <f>D3</f>
        <v>16.60192</v>
      </c>
      <c r="L2" s="159">
        <f>'Fx  sollecitazioni e coppie'!J10</f>
        <v>415.14292660684248</v>
      </c>
      <c r="M2" s="159">
        <f>'Fy sollecitazioni e coppie'!J10</f>
        <v>476.53603869058878</v>
      </c>
      <c r="N2" s="159">
        <f>'masse di piano '!B2</f>
        <v>347.15442931702341</v>
      </c>
      <c r="O2" s="159">
        <f>L2*J2</f>
        <v>7921.7241140776396</v>
      </c>
      <c r="P2" s="159">
        <f>N2*(J2^2)/1000</f>
        <v>126.40575654967058</v>
      </c>
      <c r="Q2" s="159">
        <f t="shared" ref="Q2:Q7" si="0">M2*K2</f>
        <v>7911.4131914580594</v>
      </c>
      <c r="R2" s="159">
        <f>N2*(K2^2)/1000</f>
        <v>95.684004834291457</v>
      </c>
    </row>
    <row r="3" spans="1:18" x14ac:dyDescent="0.25">
      <c r="A3" s="32">
        <v>6</v>
      </c>
      <c r="B3" s="17">
        <f>'spostamenti in x'!C27</f>
        <v>18.46556049777741</v>
      </c>
      <c r="C3" s="17">
        <f>[12]SPI!$P$2</f>
        <v>19.08192</v>
      </c>
      <c r="D3" s="17">
        <f>[12]SPI!$Q$3</f>
        <v>16.60192</v>
      </c>
      <c r="I3" s="177">
        <v>5</v>
      </c>
      <c r="J3" s="159">
        <f t="shared" ref="J3:J7" si="1">C4</f>
        <v>16.882080000000002</v>
      </c>
      <c r="K3" s="159">
        <f t="shared" ref="K3:K7" si="2">D4</f>
        <v>14.91164</v>
      </c>
      <c r="L3" s="159">
        <f>'Fx  sollecitazioni e coppie'!J11</f>
        <v>331.80010521390324</v>
      </c>
      <c r="M3" s="159">
        <f>'Fy sollecitazioni e coppie'!J11</f>
        <v>380.8681243062469</v>
      </c>
      <c r="N3" s="159">
        <f>'masse di piano '!B3</f>
        <v>331.27134385321096</v>
      </c>
      <c r="O3" s="159">
        <f t="shared" ref="O3:O7" si="3">L3*J3</f>
        <v>5601.4759202295318</v>
      </c>
      <c r="P3" s="159">
        <f t="shared" ref="P3:P7" si="4">N3*(J3^2)/1000</f>
        <v>94.413865170003163</v>
      </c>
      <c r="Q3" s="159">
        <f t="shared" si="0"/>
        <v>5679.3683571300035</v>
      </c>
      <c r="R3" s="159">
        <f t="shared" ref="R3:R7" si="5">N3*(K3^2)/1000</f>
        <v>73.660504686258278</v>
      </c>
    </row>
    <row r="4" spans="1:18" x14ac:dyDescent="0.25">
      <c r="A4" s="32">
        <v>5</v>
      </c>
      <c r="B4" s="17">
        <f>'spostamenti in x'!C28</f>
        <v>16.623554311789341</v>
      </c>
      <c r="C4" s="17">
        <f>[12]SPI!$P$5</f>
        <v>16.882080000000002</v>
      </c>
      <c r="D4" s="17">
        <f>[12]SPI!$Q$6</f>
        <v>14.91164</v>
      </c>
      <c r="I4" s="177">
        <v>4</v>
      </c>
      <c r="J4" s="159">
        <f t="shared" si="1"/>
        <v>14.02538</v>
      </c>
      <c r="K4" s="159">
        <f t="shared" si="2"/>
        <v>12.59572</v>
      </c>
      <c r="L4" s="159">
        <f>'Fx  sollecitazioni e coppie'!J12</f>
        <v>273.40240197354456</v>
      </c>
      <c r="M4" s="159">
        <f>'Fy sollecitazioni e coppie'!J12</f>
        <v>313.83431886905606</v>
      </c>
      <c r="N4" s="159">
        <f>'masse di piano '!B4</f>
        <v>338.64290348623854</v>
      </c>
      <c r="O4" s="159">
        <f t="shared" si="3"/>
        <v>3834.5725805917123</v>
      </c>
      <c r="P4" s="159">
        <f t="shared" si="4"/>
        <v>66.614880411166084</v>
      </c>
      <c r="Q4" s="159">
        <f t="shared" si="0"/>
        <v>3952.9692068653467</v>
      </c>
      <c r="R4" s="159">
        <f t="shared" si="5"/>
        <v>53.726428891872978</v>
      </c>
    </row>
    <row r="5" spans="1:18" x14ac:dyDescent="0.25">
      <c r="A5" s="32">
        <v>4</v>
      </c>
      <c r="B5" s="17">
        <f>'spostamenti in x'!C29</f>
        <v>13.912913647066954</v>
      </c>
      <c r="C5" s="17">
        <f>[12]SPI!$P$8</f>
        <v>14.02538</v>
      </c>
      <c r="D5" s="17">
        <f>[12]SPI!$Q$9</f>
        <v>12.59572</v>
      </c>
      <c r="I5" s="177">
        <v>3</v>
      </c>
      <c r="J5" s="159">
        <f t="shared" si="1"/>
        <v>10.709519999999999</v>
      </c>
      <c r="K5" s="159">
        <f t="shared" si="2"/>
        <v>9.8398000000000003</v>
      </c>
      <c r="L5" s="159">
        <f>'Fx  sollecitazioni e coppie'!J13</f>
        <v>207.62137292727823</v>
      </c>
      <c r="M5" s="159">
        <f>'Fy sollecitazioni e coppie'!J13</f>
        <v>238.32530981785462</v>
      </c>
      <c r="N5" s="159">
        <f>'masse di piano '!B5</f>
        <v>338.64290348623854</v>
      </c>
      <c r="O5" s="159">
        <f t="shared" si="3"/>
        <v>2223.5252457921447</v>
      </c>
      <c r="P5" s="159">
        <f t="shared" si="4"/>
        <v>38.840247752922686</v>
      </c>
      <c r="Q5" s="159">
        <f t="shared" si="0"/>
        <v>2345.0733835457258</v>
      </c>
      <c r="R5" s="159">
        <f t="shared" si="5"/>
        <v>32.787969430874732</v>
      </c>
    </row>
    <row r="6" spans="1:18" x14ac:dyDescent="0.25">
      <c r="A6" s="32">
        <v>3</v>
      </c>
      <c r="B6" s="17">
        <f>'spostamenti in x'!C30</f>
        <v>10.839274595104872</v>
      </c>
      <c r="C6" s="17">
        <f>[12]SPI!$P$11</f>
        <v>10.709519999999999</v>
      </c>
      <c r="D6" s="17">
        <f>[12]SPI!$Q$12</f>
        <v>9.8398000000000003</v>
      </c>
      <c r="I6" s="177">
        <v>2</v>
      </c>
      <c r="J6" s="159">
        <f t="shared" si="1"/>
        <v>7.3589200000000003</v>
      </c>
      <c r="K6" s="159">
        <f t="shared" si="2"/>
        <v>6.6293600000000001</v>
      </c>
      <c r="L6" s="159">
        <f>'Fx  sollecitazioni e coppie'!J14</f>
        <v>141.84034388101185</v>
      </c>
      <c r="M6" s="159">
        <f>'Fy sollecitazioni e coppie'!J14</f>
        <v>162.81630076665314</v>
      </c>
      <c r="N6" s="159">
        <f>'masse di piano '!B6</f>
        <v>338.64290348623854</v>
      </c>
      <c r="O6" s="159">
        <f t="shared" si="3"/>
        <v>1043.7917433928558</v>
      </c>
      <c r="P6" s="159">
        <f t="shared" si="4"/>
        <v>18.338767410258768</v>
      </c>
      <c r="Q6" s="159">
        <f t="shared" si="0"/>
        <v>1079.3678716504196</v>
      </c>
      <c r="R6" s="159">
        <f t="shared" si="5"/>
        <v>14.882818523826227</v>
      </c>
    </row>
    <row r="7" spans="1:18" x14ac:dyDescent="0.25">
      <c r="A7" s="32">
        <v>2</v>
      </c>
      <c r="B7" s="17">
        <f>'spostamenti in x'!C31</f>
        <v>7.1402069983428129</v>
      </c>
      <c r="C7" s="17">
        <f>[12]SPI!$P$14</f>
        <v>7.3589200000000003</v>
      </c>
      <c r="D7" s="17">
        <f>[12]SPI!$Q$15</f>
        <v>6.6293600000000001</v>
      </c>
      <c r="I7" s="177">
        <v>1</v>
      </c>
      <c r="J7" s="159">
        <f t="shared" si="1"/>
        <v>3.2662</v>
      </c>
      <c r="K7" s="159">
        <f t="shared" si="2"/>
        <v>3.1844400000000004</v>
      </c>
      <c r="L7" s="159">
        <f>'Fx  sollecitazioni e coppie'!J15</f>
        <v>76.836315282945009</v>
      </c>
      <c r="M7" s="159">
        <f>'Fy sollecitazioni e coppie'!J15</f>
        <v>88.19919831415541</v>
      </c>
      <c r="N7" s="159">
        <f>'masse di piano '!B7</f>
        <v>342.10238360856266</v>
      </c>
      <c r="O7" s="159">
        <f t="shared" si="3"/>
        <v>250.962772977155</v>
      </c>
      <c r="P7" s="159">
        <f t="shared" si="4"/>
        <v>3.649569589208979</v>
      </c>
      <c r="Q7" s="159">
        <f t="shared" si="0"/>
        <v>280.8650550795291</v>
      </c>
      <c r="R7" s="159">
        <f t="shared" si="5"/>
        <v>3.4691433120220712</v>
      </c>
    </row>
    <row r="8" spans="1:18" x14ac:dyDescent="0.25">
      <c r="A8" s="32">
        <v>1</v>
      </c>
      <c r="B8" s="17">
        <f>'spostamenti in x'!C32</f>
        <v>3.0138664353312636</v>
      </c>
      <c r="C8" s="17">
        <f>[12]SPI!$P$17</f>
        <v>3.2662</v>
      </c>
      <c r="D8" s="17">
        <f>[12]SPI!$Q$18</f>
        <v>3.1844400000000004</v>
      </c>
      <c r="I8" s="177" t="s">
        <v>332</v>
      </c>
      <c r="J8" s="159"/>
      <c r="K8" s="159"/>
      <c r="L8" s="159"/>
      <c r="M8" s="159"/>
      <c r="N8" s="159"/>
      <c r="O8" s="159">
        <f>SUM(O2:O7)</f>
        <v>20876.052377061042</v>
      </c>
      <c r="P8" s="159">
        <f>SUM(P2:P7)</f>
        <v>348.26308688323024</v>
      </c>
      <c r="Q8" s="159">
        <f>SUM(Q2:Q7)</f>
        <v>21249.057065729081</v>
      </c>
      <c r="R8" s="159">
        <f>SUM(R2:R7)</f>
        <v>274.21086967914579</v>
      </c>
    </row>
    <row r="9" spans="1:18" x14ac:dyDescent="0.25">
      <c r="J9" s="178"/>
      <c r="K9" s="178"/>
      <c r="L9" s="178"/>
      <c r="M9" s="178"/>
      <c r="N9" s="178"/>
      <c r="O9" s="28" t="s">
        <v>348</v>
      </c>
      <c r="P9" s="178">
        <f>2*PI()*SQRT(P8/O8)</f>
        <v>0.81153901221643587</v>
      </c>
      <c r="Q9" s="176" t="s">
        <v>349</v>
      </c>
      <c r="R9" s="178">
        <f>2*PI()*SQRT(R8/Q8)</f>
        <v>0.71376026973048556</v>
      </c>
    </row>
    <row r="10" spans="1:18" x14ac:dyDescent="0.25">
      <c r="B10" s="281" t="s">
        <v>355</v>
      </c>
      <c r="C10" s="281"/>
      <c r="D10" s="281"/>
      <c r="E10" s="281"/>
    </row>
    <row r="11" spans="1:18" x14ac:dyDescent="0.25">
      <c r="B11" s="32" t="s">
        <v>356</v>
      </c>
      <c r="C11" s="32" t="s">
        <v>357</v>
      </c>
      <c r="D11" s="32" t="s">
        <v>358</v>
      </c>
      <c r="E11" s="32" t="s">
        <v>345</v>
      </c>
    </row>
    <row r="12" spans="1:18" x14ac:dyDescent="0.25">
      <c r="B12" s="178">
        <f>'Fx  sollecitazioni e coppie'!B21</f>
        <v>0.79396810039451493</v>
      </c>
      <c r="C12" s="178">
        <f>P9</f>
        <v>0.81153901221643587</v>
      </c>
      <c r="D12" s="178">
        <f>'Fy sollecitazioni e coppie'!B21</f>
        <v>0.69167956685069887</v>
      </c>
      <c r="E12" s="178">
        <f>R9</f>
        <v>0.71376026973048556</v>
      </c>
      <c r="I12" s="280"/>
      <c r="J12" s="280"/>
      <c r="K12" s="280"/>
      <c r="L12" s="280"/>
    </row>
    <row r="13" spans="1:18" x14ac:dyDescent="0.25">
      <c r="K13" s="282" t="s">
        <v>400</v>
      </c>
      <c r="L13" s="282"/>
      <c r="M13" s="283" t="s">
        <v>402</v>
      </c>
      <c r="N13" s="283"/>
      <c r="O13" s="283"/>
    </row>
    <row r="14" spans="1:18" x14ac:dyDescent="0.25">
      <c r="B14" s="11"/>
      <c r="C14" s="32" t="s">
        <v>360</v>
      </c>
      <c r="D14" s="32" t="s">
        <v>359</v>
      </c>
      <c r="E14" s="32" t="s">
        <v>361</v>
      </c>
      <c r="F14" s="32" t="s">
        <v>362</v>
      </c>
      <c r="J14" t="s">
        <v>399</v>
      </c>
      <c r="K14" s="282" t="s">
        <v>401</v>
      </c>
      <c r="L14" s="282"/>
      <c r="M14" s="283" t="s">
        <v>401</v>
      </c>
      <c r="N14" s="283"/>
      <c r="O14" s="283"/>
    </row>
    <row r="15" spans="1:18" x14ac:dyDescent="0.25">
      <c r="B15" s="11" t="s">
        <v>395</v>
      </c>
      <c r="C15" s="178">
        <f>[3]Dati!$D$28</f>
        <v>8.5191911065204684E-2</v>
      </c>
      <c r="D15" s="178">
        <f>[13]Dati!$D$28</f>
        <v>8.3347391535355614E-2</v>
      </c>
      <c r="E15" s="178">
        <f>C15/D15</f>
        <v>1.0221305009775457</v>
      </c>
      <c r="F15" s="178">
        <f>E15-1</f>
        <v>2.2130500977545653E-2</v>
      </c>
      <c r="H15" t="s">
        <v>397</v>
      </c>
      <c r="I15">
        <f>[3]Dati!$C$28</f>
        <v>6.5651699505925185E-2</v>
      </c>
      <c r="J15">
        <f>C15/I15</f>
        <v>1.2976345122263888</v>
      </c>
      <c r="K15" s="282">
        <f>0.005*3200</f>
        <v>16</v>
      </c>
      <c r="L15" s="282"/>
      <c r="M15" s="283">
        <f>J15*6.4</f>
        <v>8.3048608782488884</v>
      </c>
      <c r="N15" s="283"/>
      <c r="O15" s="283"/>
    </row>
    <row r="16" spans="1:18" x14ac:dyDescent="0.25">
      <c r="B16" s="11" t="s">
        <v>396</v>
      </c>
      <c r="C16" s="178">
        <f>[5]Dati!$D$28</f>
        <v>9.7790455348262806E-2</v>
      </c>
      <c r="D16" s="178">
        <f>[14]Dati!$D$28</f>
        <v>9.4765235143950535E-2</v>
      </c>
      <c r="E16" s="178">
        <f>C16/D16</f>
        <v>1.0319233123805043</v>
      </c>
      <c r="F16" s="178">
        <f>E16-1</f>
        <v>3.1923312380504276E-2</v>
      </c>
      <c r="H16" t="s">
        <v>398</v>
      </c>
      <c r="I16">
        <f>[5]Dati!$C$28</f>
        <v>7.5360553705126787E-2</v>
      </c>
      <c r="J16">
        <f>C16/I16</f>
        <v>1.2976345122263893</v>
      </c>
    </row>
    <row r="18" spans="1:11" x14ac:dyDescent="0.25">
      <c r="B18" s="281" t="s">
        <v>363</v>
      </c>
      <c r="C18" s="281"/>
      <c r="D18" s="281"/>
      <c r="E18" s="281"/>
      <c r="H18" s="281" t="s">
        <v>363</v>
      </c>
      <c r="I18" s="281"/>
      <c r="J18" s="281"/>
      <c r="K18" s="281"/>
    </row>
    <row r="19" spans="1:11" x14ac:dyDescent="0.25">
      <c r="A19" s="32" t="s">
        <v>214</v>
      </c>
      <c r="B19" s="32" t="s">
        <v>356</v>
      </c>
      <c r="C19" s="32" t="s">
        <v>357</v>
      </c>
      <c r="D19" s="32" t="s">
        <v>364</v>
      </c>
      <c r="E19" s="32" t="s">
        <v>345</v>
      </c>
      <c r="G19" s="32" t="s">
        <v>214</v>
      </c>
      <c r="H19" s="117" t="s">
        <v>357</v>
      </c>
      <c r="I19" s="179" t="s">
        <v>389</v>
      </c>
      <c r="J19" s="117" t="s">
        <v>345</v>
      </c>
      <c r="K19" s="179" t="s">
        <v>390</v>
      </c>
    </row>
    <row r="20" spans="1:11" x14ac:dyDescent="0.25">
      <c r="A20" s="32" t="s">
        <v>202</v>
      </c>
      <c r="B20" s="159">
        <f>'Fx  sollecitazioni e coppie'!P10</f>
        <v>44.281912171396542</v>
      </c>
      <c r="C20" s="159">
        <f>[12]PIL!$N$2</f>
        <v>100.72799999999999</v>
      </c>
      <c r="D20" s="159">
        <f>'Fy sollecitazioni e coppie'!P10</f>
        <v>50.83051079366281</v>
      </c>
      <c r="E20" s="159">
        <f>[12]PIL!$O$2</f>
        <v>73.55</v>
      </c>
      <c r="G20" s="32" t="s">
        <v>202</v>
      </c>
      <c r="H20" s="159">
        <f>C20+(C20*$F$15)</f>
        <v>102.95716110246622</v>
      </c>
      <c r="I20" s="159">
        <f>[15]pil!$P$2</f>
        <v>109.304</v>
      </c>
      <c r="J20" s="159">
        <f>E20+(E20*$F$16)</f>
        <v>75.897959625586083</v>
      </c>
      <c r="K20" s="32">
        <f>[15]pil!$Q$2</f>
        <v>83.77</v>
      </c>
    </row>
    <row r="21" spans="1:11" x14ac:dyDescent="0.25">
      <c r="A21" s="32">
        <v>5</v>
      </c>
      <c r="B21" s="159">
        <f>'Fx  sollecitazioni e coppie'!P11</f>
        <v>99.592404242766108</v>
      </c>
      <c r="C21" s="159">
        <f>[12]PIL!$N$6</f>
        <v>118.05800000000001</v>
      </c>
      <c r="D21" s="159">
        <f>'Fy sollecitazioni e coppie'!P11</f>
        <v>114.32055506624476</v>
      </c>
      <c r="E21" s="159">
        <f>[12]PIL!$O$6</f>
        <v>100.60299999999999</v>
      </c>
      <c r="G21" s="32">
        <v>5</v>
      </c>
      <c r="H21" s="159">
        <f t="shared" ref="H21:H26" si="6">C21+(C21*$F$15)</f>
        <v>120.6706826844071</v>
      </c>
      <c r="I21" s="159">
        <f>[15]pil!$P$6</f>
        <v>124.261</v>
      </c>
      <c r="J21" s="159">
        <f t="shared" ref="J21:J26" si="7">E21+(E21*$F$16)</f>
        <v>103.81458099541587</v>
      </c>
      <c r="K21" s="159">
        <f>[15]pil!$Q$6</f>
        <v>112.01</v>
      </c>
    </row>
    <row r="22" spans="1:11" x14ac:dyDescent="0.25">
      <c r="A22" s="32">
        <v>4</v>
      </c>
      <c r="B22" s="159">
        <f>'Fx  sollecitazioni e coppie'!P12</f>
        <v>136.04605783923873</v>
      </c>
      <c r="C22" s="159">
        <f>[12]PIL!$N$10</f>
        <v>178.95400000000001</v>
      </c>
      <c r="D22" s="159">
        <f>'Fy sollecitazioni e coppie'!P12</f>
        <v>156.16513091545224</v>
      </c>
      <c r="E22" s="159">
        <f>[12]PIL!$O$10</f>
        <v>151.12899999999999</v>
      </c>
      <c r="G22" s="32">
        <v>4</v>
      </c>
      <c r="H22" s="159">
        <f t="shared" si="6"/>
        <v>182.91434167193572</v>
      </c>
      <c r="I22" s="159">
        <f>[15]pil!$P$10</f>
        <v>185.80600000000001</v>
      </c>
      <c r="J22" s="159">
        <f t="shared" si="7"/>
        <v>155.95353827675322</v>
      </c>
      <c r="K22" s="159">
        <f>[15]pil!$Q$10</f>
        <v>168.05600000000001</v>
      </c>
    </row>
    <row r="23" spans="1:11" x14ac:dyDescent="0.25">
      <c r="A23" s="32">
        <v>3</v>
      </c>
      <c r="B23" s="159">
        <f>'Fx  sollecitazioni e coppie'!P13</f>
        <v>163.7289075628758</v>
      </c>
      <c r="C23" s="159">
        <f>[12]PIL!$N$14</f>
        <v>197.56399999999999</v>
      </c>
      <c r="D23" s="159">
        <f>'Fy sollecitazioni e coppie'!P13</f>
        <v>187.94183889116619</v>
      </c>
      <c r="E23" s="159">
        <f>[12]PIL!$O$14</f>
        <v>175.46799999999999</v>
      </c>
      <c r="G23" s="32">
        <v>3</v>
      </c>
      <c r="H23" s="159">
        <f t="shared" si="6"/>
        <v>201.93619029512783</v>
      </c>
      <c r="I23" s="159">
        <f>[15]pil!$P$14</f>
        <v>205.018</v>
      </c>
      <c r="J23" s="159">
        <f t="shared" si="7"/>
        <v>181.0695197767823</v>
      </c>
      <c r="K23" s="159">
        <f>[15]pil!$Q$14</f>
        <v>196.85300000000001</v>
      </c>
    </row>
    <row r="24" spans="1:11" x14ac:dyDescent="0.25">
      <c r="A24" s="32">
        <v>2</v>
      </c>
      <c r="B24" s="159">
        <f>'Fx  sollecitazioni e coppie'!P14</f>
        <v>182.64095341367738</v>
      </c>
      <c r="C24" s="159">
        <f>[12]PIL!$N$18</f>
        <v>205.81700000000001</v>
      </c>
      <c r="D24" s="159">
        <f>'Fy sollecitazioni e coppie'!P14</f>
        <v>209.65067899338661</v>
      </c>
      <c r="E24" s="159">
        <f>[12]PIL!$O$18</f>
        <v>193.101</v>
      </c>
      <c r="G24" s="32">
        <v>2</v>
      </c>
      <c r="H24" s="159">
        <f t="shared" si="6"/>
        <v>210.37183331969553</v>
      </c>
      <c r="I24" s="159">
        <f>[15]pil!$P$18</f>
        <v>214.93799999999999</v>
      </c>
      <c r="J24" s="159">
        <f t="shared" si="7"/>
        <v>199.26542354398777</v>
      </c>
      <c r="K24" s="159">
        <f>[15]pil!$Q$18</f>
        <v>218.80799999999999</v>
      </c>
    </row>
    <row r="25" spans="1:11" x14ac:dyDescent="0.25">
      <c r="A25" s="32" t="s">
        <v>227</v>
      </c>
      <c r="B25" s="159">
        <f>'Fx  sollecitazioni e coppie'!P15</f>
        <v>178.41936079254813</v>
      </c>
      <c r="C25" s="159">
        <f>[12]PIL!$N$22</f>
        <v>148.994</v>
      </c>
      <c r="D25" s="159">
        <f>'Fy sollecitazioni e coppie'!P15</f>
        <v>204.80477919429509</v>
      </c>
      <c r="E25" s="159">
        <f>[12]PIL!$O$22</f>
        <v>174.68</v>
      </c>
      <c r="G25" s="32" t="s">
        <v>227</v>
      </c>
      <c r="H25" s="159">
        <f t="shared" si="6"/>
        <v>152.29131186264843</v>
      </c>
      <c r="I25" s="159">
        <f>[15]pil!$P$22</f>
        <v>156.40100000000001</v>
      </c>
      <c r="J25" s="159">
        <f t="shared" si="7"/>
        <v>180.2563642066265</v>
      </c>
      <c r="K25" s="159">
        <f>[15]pil!$Q$22</f>
        <v>199.495</v>
      </c>
    </row>
    <row r="26" spans="1:11" x14ac:dyDescent="0.25">
      <c r="A26" s="32" t="s">
        <v>229</v>
      </c>
      <c r="B26" s="159">
        <f>'Fx  sollecitazioni e coppie'!P16</f>
        <v>267.62904118882221</v>
      </c>
      <c r="C26" s="159">
        <f>[12]PIL!$N$26</f>
        <v>-263.85399999999998</v>
      </c>
      <c r="D26" s="159">
        <f>'Fy sollecitazioni e coppie'!P16</f>
        <v>307.20716879144265</v>
      </c>
      <c r="E26" s="159">
        <f>[12]PIL!$O$26</f>
        <v>-276.47699999999998</v>
      </c>
      <c r="G26" s="32" t="s">
        <v>229</v>
      </c>
      <c r="H26" s="159">
        <f t="shared" si="6"/>
        <v>-269.69322120492933</v>
      </c>
      <c r="I26" s="159">
        <f>[15]pil!$P$26</f>
        <v>-274.99099999999999</v>
      </c>
      <c r="J26" s="159">
        <f t="shared" si="7"/>
        <v>-285.30306163702465</v>
      </c>
      <c r="K26" s="159">
        <f>[15]pil!$Q$26</f>
        <v>-313.87099999999998</v>
      </c>
    </row>
    <row r="28" spans="1:11" x14ac:dyDescent="0.25">
      <c r="B28" s="284" t="s">
        <v>365</v>
      </c>
      <c r="C28" s="285"/>
      <c r="D28" s="285"/>
      <c r="E28" s="286"/>
      <c r="H28" s="284" t="s">
        <v>365</v>
      </c>
      <c r="I28" s="285"/>
      <c r="J28" s="285"/>
      <c r="K28" s="286"/>
    </row>
    <row r="29" spans="1:11" x14ac:dyDescent="0.25">
      <c r="A29" s="32" t="s">
        <v>214</v>
      </c>
      <c r="B29" s="32" t="s">
        <v>356</v>
      </c>
      <c r="C29" s="32" t="s">
        <v>357</v>
      </c>
      <c r="D29" s="32" t="s">
        <v>364</v>
      </c>
      <c r="E29" s="32" t="s">
        <v>345</v>
      </c>
      <c r="G29" s="32" t="s">
        <v>214</v>
      </c>
      <c r="H29" s="117" t="s">
        <v>357</v>
      </c>
      <c r="I29" s="179" t="s">
        <v>389</v>
      </c>
      <c r="J29" s="117" t="s">
        <v>345</v>
      </c>
      <c r="K29" s="179" t="s">
        <v>390</v>
      </c>
    </row>
    <row r="30" spans="1:11" x14ac:dyDescent="0.25">
      <c r="A30" s="32">
        <v>6</v>
      </c>
      <c r="B30" s="159">
        <f>'Fx  sollecitazioni e coppie'!O10</f>
        <v>34.595243883903542</v>
      </c>
      <c r="C30" s="32">
        <f>[12]PIL!$N$4</f>
        <v>48.368000000000002</v>
      </c>
      <c r="D30" s="159">
        <f>'Fy sollecitazioni e coppie'!O10</f>
        <v>39.711336557549068</v>
      </c>
      <c r="E30" s="159">
        <f>[12]PIL!$O$4</f>
        <v>34.524999999999999</v>
      </c>
      <c r="G30" s="32">
        <v>6</v>
      </c>
      <c r="H30" s="159">
        <f>C30+(C30*$F$15)</f>
        <v>49.438408071281927</v>
      </c>
      <c r="I30" s="159">
        <f>[15]pil!$P$4</f>
        <v>53.476999999999997</v>
      </c>
      <c r="J30" s="159">
        <f>E30+(E30*$F$16)</f>
        <v>35.627152359936908</v>
      </c>
      <c r="K30" s="159">
        <f>[15]pil!$Q$4</f>
        <v>40.15</v>
      </c>
    </row>
    <row r="31" spans="1:11" x14ac:dyDescent="0.25">
      <c r="A31" s="32">
        <v>5</v>
      </c>
      <c r="B31" s="159">
        <f>'Fx  sollecitazioni e coppie'!O11</f>
        <v>62.245252651728812</v>
      </c>
      <c r="C31" s="32">
        <f>[12]PIL!$N$8</f>
        <v>74.58</v>
      </c>
      <c r="D31" s="159">
        <f>'Fy sollecitazioni e coppie'!O11</f>
        <v>71.450346916402978</v>
      </c>
      <c r="E31" s="159">
        <f>[12]PIL!$O$8</f>
        <v>62.6</v>
      </c>
      <c r="G31" s="32">
        <v>5</v>
      </c>
      <c r="H31" s="159">
        <f t="shared" ref="H31:H35" si="8">C31+(C31*$F$15)</f>
        <v>76.230492762905357</v>
      </c>
      <c r="I31" s="159">
        <f>[15]pil!$P$8</f>
        <v>79.218999999999994</v>
      </c>
      <c r="J31" s="159">
        <f t="shared" ref="J31:J35" si="9">E31+(E31*$F$16)</f>
        <v>64.598399355019566</v>
      </c>
      <c r="K31" s="159">
        <f>[15]pil!$Q$8</f>
        <v>69.945999999999998</v>
      </c>
    </row>
    <row r="32" spans="1:11" x14ac:dyDescent="0.25">
      <c r="A32" s="32">
        <v>4</v>
      </c>
      <c r="B32" s="159">
        <f>'Fx  sollecitazioni e coppie'!O12</f>
        <v>85.028786149524194</v>
      </c>
      <c r="C32" s="32">
        <f>[12]PIL!$N$12</f>
        <v>105.803</v>
      </c>
      <c r="D32" s="159">
        <f>'Fy sollecitazioni e coppie'!O12</f>
        <v>97.603206822157645</v>
      </c>
      <c r="E32" s="159">
        <f>[12]PIL!$O$12</f>
        <v>89.177999999999997</v>
      </c>
      <c r="G32" s="32">
        <v>4</v>
      </c>
      <c r="H32" s="159">
        <f t="shared" si="8"/>
        <v>108.14447339492726</v>
      </c>
      <c r="I32" s="159">
        <f>[15]pil!$P$12</f>
        <v>110.143</v>
      </c>
      <c r="J32" s="159">
        <f t="shared" si="9"/>
        <v>92.024857151468609</v>
      </c>
      <c r="K32" s="159">
        <f>[15]pil!$Q$12</f>
        <v>99.049000000000007</v>
      </c>
    </row>
    <row r="33" spans="1:17" x14ac:dyDescent="0.25">
      <c r="A33" s="32">
        <v>3</v>
      </c>
      <c r="B33" s="159">
        <f>'Fx  sollecitazioni e coppie'!O13</f>
        <v>102.33056722679737</v>
      </c>
      <c r="C33" s="32">
        <f>[12]PIL!$N$16</f>
        <v>120.17400000000001</v>
      </c>
      <c r="D33" s="159">
        <f>'Fy sollecitazioni e coppie'!O13</f>
        <v>117.46364930697887</v>
      </c>
      <c r="E33" s="159">
        <f>[12]PIL!$O$16</f>
        <v>105.871</v>
      </c>
      <c r="G33" s="32">
        <v>3</v>
      </c>
      <c r="H33" s="159">
        <f t="shared" si="8"/>
        <v>122.83351082447558</v>
      </c>
      <c r="I33" s="159">
        <f>[15]pil!$P$16</f>
        <v>124.54300000000001</v>
      </c>
      <c r="J33" s="159">
        <f t="shared" si="9"/>
        <v>109.25075300503636</v>
      </c>
      <c r="K33" s="159">
        <f>[15]pil!$Q$16</f>
        <v>118.404</v>
      </c>
    </row>
    <row r="34" spans="1:17" x14ac:dyDescent="0.25">
      <c r="A34" s="32">
        <v>2</v>
      </c>
      <c r="B34" s="159">
        <f>'Fx  sollecitazioni e coppie'!O14</f>
        <v>114.15059588354836</v>
      </c>
      <c r="C34" s="32">
        <f>[12]PIL!$N$20</f>
        <v>132.74799999999999</v>
      </c>
      <c r="D34" s="159">
        <f>'Fy sollecitazioni e coppie'!O14</f>
        <v>131.03167437086663</v>
      </c>
      <c r="E34" s="159">
        <f>[12]PIL!$O$20</f>
        <v>121.26</v>
      </c>
      <c r="G34" s="32">
        <v>2</v>
      </c>
      <c r="H34" s="159">
        <f t="shared" si="8"/>
        <v>135.68577974376723</v>
      </c>
      <c r="I34" s="159">
        <f>[15]pil!$P$20</f>
        <v>138.17599999999999</v>
      </c>
      <c r="J34" s="159">
        <f t="shared" si="9"/>
        <v>125.13102085925995</v>
      </c>
      <c r="K34" s="159">
        <f>[15]pil!$Q$20</f>
        <v>136.89699999999999</v>
      </c>
    </row>
    <row r="35" spans="1:17" x14ac:dyDescent="0.25">
      <c r="A35" s="32">
        <v>1</v>
      </c>
      <c r="B35" s="159">
        <f>'Fx  sollecitazioni e coppie'!O15</f>
        <v>120.55362215712711</v>
      </c>
      <c r="C35" s="32">
        <f>[12]PIL!$N$24</f>
        <v>111.581</v>
      </c>
      <c r="D35" s="159">
        <f>'Fy sollecitazioni e coppie'!O15</f>
        <v>138.38160756371289</v>
      </c>
      <c r="E35" s="159">
        <f>[12]PIL!$O$24</f>
        <v>121.935</v>
      </c>
      <c r="G35" s="32">
        <v>1</v>
      </c>
      <c r="H35" s="159">
        <f t="shared" si="8"/>
        <v>114.05034342957552</v>
      </c>
      <c r="I35" s="159">
        <f>[15]pil!$P$24</f>
        <v>116.508</v>
      </c>
      <c r="J35" s="159">
        <f t="shared" si="9"/>
        <v>125.82756909511679</v>
      </c>
      <c r="K35" s="159">
        <f>[15]pil!$Q$24</f>
        <v>138.727</v>
      </c>
    </row>
    <row r="37" spans="1:17" x14ac:dyDescent="0.25">
      <c r="B37" s="281" t="s">
        <v>366</v>
      </c>
      <c r="C37" s="281"/>
      <c r="D37" s="281"/>
      <c r="E37" s="281"/>
      <c r="F37" s="281"/>
      <c r="G37" s="281"/>
      <c r="J37" s="281" t="s">
        <v>366</v>
      </c>
      <c r="K37" s="281"/>
      <c r="L37" s="281"/>
      <c r="M37" s="281"/>
      <c r="N37" s="281"/>
      <c r="O37" s="281"/>
    </row>
    <row r="38" spans="1:17" x14ac:dyDescent="0.25">
      <c r="A38" s="32" t="s">
        <v>214</v>
      </c>
      <c r="B38" s="32" t="s">
        <v>356</v>
      </c>
      <c r="C38" s="32" t="s">
        <v>367</v>
      </c>
      <c r="D38" s="180" t="s">
        <v>368</v>
      </c>
      <c r="E38" s="32" t="s">
        <v>364</v>
      </c>
      <c r="F38" s="32" t="s">
        <v>369</v>
      </c>
      <c r="G38" s="32" t="s">
        <v>370</v>
      </c>
      <c r="I38" s="32" t="s">
        <v>214</v>
      </c>
      <c r="J38" s="32" t="s">
        <v>367</v>
      </c>
      <c r="K38" s="180" t="s">
        <v>391</v>
      </c>
      <c r="L38" s="180" t="s">
        <v>368</v>
      </c>
      <c r="M38" s="180" t="s">
        <v>392</v>
      </c>
      <c r="N38" s="32" t="s">
        <v>369</v>
      </c>
      <c r="O38" s="180" t="s">
        <v>393</v>
      </c>
      <c r="P38" s="32" t="s">
        <v>370</v>
      </c>
      <c r="Q38" s="180" t="s">
        <v>394</v>
      </c>
    </row>
    <row r="39" spans="1:17" x14ac:dyDescent="0.25">
      <c r="A39" s="32">
        <v>6</v>
      </c>
      <c r="B39" s="17">
        <f>'Fx  sollecitazioni e coppie'!Q10</f>
        <v>22.140956085698271</v>
      </c>
      <c r="C39" s="17">
        <f>[12]TRA!$N$2</f>
        <v>56.472000000000001</v>
      </c>
      <c r="D39" s="17">
        <f>[12]TRA!$N$3</f>
        <v>56.442999999999998</v>
      </c>
      <c r="E39" s="17">
        <f>'Fy sollecitazioni e coppie'!Q10</f>
        <v>25.415255396831405</v>
      </c>
      <c r="F39" s="17">
        <f>[12]TRA!$O$2</f>
        <v>44.313000000000002</v>
      </c>
      <c r="G39" s="17">
        <f>[12]TRA!$O$3</f>
        <v>44.128</v>
      </c>
      <c r="I39" s="32">
        <v>6</v>
      </c>
      <c r="J39" s="159">
        <f>C39+(C39*$F$15)</f>
        <v>57.721753651203962</v>
      </c>
      <c r="K39" s="159">
        <f>[15]tra!$P$2</f>
        <v>60.393999999999998</v>
      </c>
      <c r="L39" s="159">
        <f>D39+(D39*$F$15)</f>
        <v>57.69211186667561</v>
      </c>
      <c r="M39" s="159">
        <f>[15]tra!$P$3</f>
        <v>60.368000000000002</v>
      </c>
      <c r="N39" s="159">
        <f>F39+(F39*$F$16)</f>
        <v>45.727617741517285</v>
      </c>
      <c r="O39" s="159">
        <f>[15]tra!$Q$2</f>
        <v>49.710999999999999</v>
      </c>
      <c r="P39" s="159">
        <f>G39+(G39*$F$16)</f>
        <v>45.536711928726895</v>
      </c>
      <c r="Q39" s="159">
        <f>[15]tra!$Q$3</f>
        <v>49.462000000000003</v>
      </c>
    </row>
    <row r="40" spans="1:17" x14ac:dyDescent="0.25">
      <c r="A40" s="32">
        <v>5</v>
      </c>
      <c r="B40" s="17">
        <f>'Fx  sollecitazioni e coppie'!Q11</f>
        <v>71.937158207081325</v>
      </c>
      <c r="C40" s="17">
        <f>[12]TRA!$N$6</f>
        <v>91.567999999999998</v>
      </c>
      <c r="D40" s="17">
        <f>[12]TRA!$N$7</f>
        <v>91.578000000000003</v>
      </c>
      <c r="E40" s="17">
        <f>'Fy sollecitazioni e coppie'!Q11</f>
        <v>82.575532929953795</v>
      </c>
      <c r="F40" s="17">
        <f>[12]TRA!$O$6</f>
        <v>75.114000000000004</v>
      </c>
      <c r="G40" s="17">
        <f>[12]TRA!$O$7</f>
        <v>75.244</v>
      </c>
      <c r="I40" s="32">
        <v>5</v>
      </c>
      <c r="J40" s="159">
        <f t="shared" ref="J40:J44" si="10">C40+(C40*$F$15)</f>
        <v>93.594445713511902</v>
      </c>
      <c r="K40" s="159">
        <f>[15]tra!$P$6</f>
        <v>96.897000000000006</v>
      </c>
      <c r="L40" s="159">
        <f t="shared" ref="L40:L44" si="11">D40+(D40*$F$15)</f>
        <v>93.604667018521681</v>
      </c>
      <c r="M40" s="159">
        <f>[15]tra!$P$7</f>
        <v>96.91</v>
      </c>
      <c r="N40" s="159">
        <f t="shared" ref="N40:N44" si="12">F40+(F40*$F$16)</f>
        <v>77.511887686149208</v>
      </c>
      <c r="O40" s="159">
        <f>[15]tra!$Q$6</f>
        <v>83.534000000000006</v>
      </c>
      <c r="P40" s="159">
        <f t="shared" ref="P40:P44" si="13">G40+(G40*$F$16)</f>
        <v>77.64603771675867</v>
      </c>
      <c r="Q40" s="159">
        <f>[15]tra!$Q$7</f>
        <v>83.668999999999997</v>
      </c>
    </row>
    <row r="41" spans="1:17" x14ac:dyDescent="0.25">
      <c r="A41" s="32">
        <v>4</v>
      </c>
      <c r="B41" s="17">
        <f>'Fx  sollecitazioni e coppie'!Q12</f>
        <v>117.81923104100241</v>
      </c>
      <c r="C41" s="17">
        <f>[12]TRA!$N$10</f>
        <v>156.989</v>
      </c>
      <c r="D41" s="17">
        <f>[12]TRA!$N$11</f>
        <v>156.56299999999999</v>
      </c>
      <c r="E41" s="17">
        <f>'Fy sollecitazioni e coppie'!Q12</f>
        <v>135.24284299084849</v>
      </c>
      <c r="F41" s="17">
        <f>[12]TRA!$O$10</f>
        <v>133.96700000000001</v>
      </c>
      <c r="G41" s="17">
        <f>[12]TRA!$O$11</f>
        <v>132.99199999999999</v>
      </c>
      <c r="I41" s="32">
        <v>4</v>
      </c>
      <c r="J41" s="159">
        <f t="shared" si="10"/>
        <v>160.46324521796393</v>
      </c>
      <c r="K41" s="159">
        <f>[15]tra!$P$10</f>
        <v>171.23099999999999</v>
      </c>
      <c r="L41" s="159">
        <f t="shared" si="11"/>
        <v>160.02781762454748</v>
      </c>
      <c r="M41" s="159">
        <f>[15]tra!$P$11</f>
        <v>172.61799999999999</v>
      </c>
      <c r="N41" s="159">
        <f t="shared" si="12"/>
        <v>138.24367038967904</v>
      </c>
      <c r="O41" s="159">
        <f>[15]tra!$Q$10</f>
        <v>147.92699999999999</v>
      </c>
      <c r="P41" s="159">
        <f t="shared" si="13"/>
        <v>137.23754516010803</v>
      </c>
      <c r="Q41" s="159">
        <f>[15]tra!$Q$11</f>
        <v>146.83600000000001</v>
      </c>
    </row>
    <row r="42" spans="1:17" x14ac:dyDescent="0.25">
      <c r="A42" s="32">
        <v>3</v>
      </c>
      <c r="B42" s="17">
        <f>'Fx  sollecitazioni e coppie'!Q13</f>
        <v>149.88748270105725</v>
      </c>
      <c r="C42" s="17">
        <f>[12]TRA!$N$14</f>
        <v>196.102</v>
      </c>
      <c r="D42" s="17">
        <f>[12]TRA!$N$15</f>
        <v>196.102</v>
      </c>
      <c r="E42" s="17">
        <f>'Fy sollecitazioni e coppie'!Q13</f>
        <v>172.0534849033092</v>
      </c>
      <c r="F42" s="17">
        <f>[12]TRA!$O$14</f>
        <v>160.03899999999999</v>
      </c>
      <c r="G42" s="17">
        <f>[12]TRA!$O$15</f>
        <v>164.19300000000001</v>
      </c>
      <c r="I42" s="32">
        <v>3</v>
      </c>
      <c r="J42" s="159">
        <f t="shared" si="10"/>
        <v>200.44183550269867</v>
      </c>
      <c r="K42" s="159">
        <f>[15]tra!$P$14</f>
        <v>212.45599999999999</v>
      </c>
      <c r="L42" s="159">
        <f t="shared" si="11"/>
        <v>200.44183550269867</v>
      </c>
      <c r="M42" s="159">
        <f>[15]tra!$P$15</f>
        <v>212.45599999999999</v>
      </c>
      <c r="N42" s="159">
        <f t="shared" si="12"/>
        <v>165.14797499006352</v>
      </c>
      <c r="O42" s="159">
        <f>[15]tra!$Q$14</f>
        <v>177.333</v>
      </c>
      <c r="P42" s="159">
        <f t="shared" si="13"/>
        <v>169.43458442969217</v>
      </c>
      <c r="Q42" s="159">
        <f>[15]tra!$Q$15</f>
        <v>182.34700000000001</v>
      </c>
    </row>
    <row r="43" spans="1:17" x14ac:dyDescent="0.25">
      <c r="A43" s="32">
        <v>2</v>
      </c>
      <c r="B43" s="17">
        <f>'Fx  sollecitazioni e coppie'!Q14</f>
        <v>173.18493048827659</v>
      </c>
      <c r="C43" s="17">
        <f>[12]TRA!$N$18</f>
        <v>235.047</v>
      </c>
      <c r="D43" s="17">
        <f>[12]TRA!$N$19</f>
        <v>235.047</v>
      </c>
      <c r="E43" s="17">
        <f>'Fy sollecitazioni e coppie'!Q14</f>
        <v>198.79625894227638</v>
      </c>
      <c r="F43" s="17">
        <f>[12]TRA!$O$18</f>
        <v>178.99</v>
      </c>
      <c r="G43" s="17">
        <f>[12]TRA!$O$19</f>
        <v>193.09299999999999</v>
      </c>
      <c r="I43" s="32">
        <v>2</v>
      </c>
      <c r="J43" s="159">
        <f t="shared" si="10"/>
        <v>240.24870786326917</v>
      </c>
      <c r="K43" s="159">
        <f>[15]tra!$P$18</f>
        <v>255.56800000000001</v>
      </c>
      <c r="L43" s="159">
        <f t="shared" si="11"/>
        <v>240.24870786326917</v>
      </c>
      <c r="M43" s="159">
        <f>[15]tra!$P$19</f>
        <v>255.56800000000001</v>
      </c>
      <c r="N43" s="159">
        <f t="shared" si="12"/>
        <v>184.70395368298648</v>
      </c>
      <c r="O43" s="159">
        <f>[15]tra!$Q$18</f>
        <v>200.65700000000001</v>
      </c>
      <c r="P43" s="159">
        <f t="shared" si="13"/>
        <v>199.25716815748871</v>
      </c>
      <c r="Q43" s="159">
        <f>[15]tra!$Q$19</f>
        <v>216.43899999999999</v>
      </c>
    </row>
    <row r="44" spans="1:17" x14ac:dyDescent="0.25">
      <c r="A44" s="32">
        <v>1</v>
      </c>
      <c r="B44" s="17">
        <f>'Fx  sollecitazioni e coppie'!Q15</f>
        <v>180.53015710311274</v>
      </c>
      <c r="C44" s="17">
        <f>[12]TRA!$N$22</f>
        <v>242.773</v>
      </c>
      <c r="D44" s="17">
        <f>[12]TRA!$N$23</f>
        <v>242.773</v>
      </c>
      <c r="E44" s="17">
        <f>'Fy sollecitazioni e coppie'!Q15</f>
        <v>207.22772909384085</v>
      </c>
      <c r="F44" s="17">
        <f>[12]TRA!$O$22</f>
        <v>192.70099999999999</v>
      </c>
      <c r="G44" s="17">
        <f>[12]TRA!$O$23</f>
        <v>211.94300000000001</v>
      </c>
      <c r="I44" s="32">
        <v>1</v>
      </c>
      <c r="J44" s="159">
        <f t="shared" si="10"/>
        <v>248.14568811382168</v>
      </c>
      <c r="K44" s="159">
        <f>[15]tra!$P$22</f>
        <v>266.339</v>
      </c>
      <c r="L44" s="159">
        <f t="shared" si="11"/>
        <v>248.14568811382168</v>
      </c>
      <c r="M44" s="159">
        <f>[15]tra!$P$23</f>
        <v>266.339</v>
      </c>
      <c r="N44" s="159">
        <f t="shared" si="12"/>
        <v>198.85265421903554</v>
      </c>
      <c r="O44" s="159">
        <f>[15]tra!$Q$22</f>
        <v>217.964</v>
      </c>
      <c r="P44" s="159">
        <f t="shared" si="13"/>
        <v>218.70892259586122</v>
      </c>
      <c r="Q44" s="159">
        <f>[15]tra!$Q$23</f>
        <v>239.71299999999999</v>
      </c>
    </row>
    <row r="47" spans="1:17" x14ac:dyDescent="0.25">
      <c r="B47" s="181" t="s">
        <v>371</v>
      </c>
      <c r="D47" s="182" t="s">
        <v>372</v>
      </c>
      <c r="F47" s="183" t="s">
        <v>373</v>
      </c>
      <c r="H47" s="184" t="s">
        <v>374</v>
      </c>
      <c r="J47" s="185" t="s">
        <v>375</v>
      </c>
      <c r="L47" s="186" t="s">
        <v>376</v>
      </c>
      <c r="N47" s="187" t="s">
        <v>377</v>
      </c>
      <c r="P47" s="188" t="s">
        <v>378</v>
      </c>
    </row>
    <row r="48" spans="1:17" x14ac:dyDescent="0.25">
      <c r="A48" s="189" t="s">
        <v>379</v>
      </c>
      <c r="B48" s="190" t="s">
        <v>380</v>
      </c>
      <c r="C48" s="191" t="s">
        <v>381</v>
      </c>
      <c r="D48" s="190" t="s">
        <v>380</v>
      </c>
      <c r="E48" s="191" t="s">
        <v>381</v>
      </c>
      <c r="F48" s="190" t="s">
        <v>380</v>
      </c>
      <c r="G48" s="191" t="s">
        <v>381</v>
      </c>
      <c r="H48" s="190" t="s">
        <v>380</v>
      </c>
      <c r="I48" s="191" t="s">
        <v>381</v>
      </c>
      <c r="J48" s="190" t="s">
        <v>380</v>
      </c>
      <c r="K48" s="191" t="s">
        <v>381</v>
      </c>
      <c r="L48" s="190" t="s">
        <v>380</v>
      </c>
      <c r="M48" s="191" t="s">
        <v>381</v>
      </c>
      <c r="N48" s="190" t="s">
        <v>380</v>
      </c>
      <c r="O48" s="191" t="s">
        <v>381</v>
      </c>
      <c r="P48" s="190" t="s">
        <v>380</v>
      </c>
      <c r="Q48" s="191" t="s">
        <v>381</v>
      </c>
    </row>
    <row r="49" spans="1:17" x14ac:dyDescent="0.25">
      <c r="A49" s="32">
        <v>6</v>
      </c>
      <c r="B49" s="159">
        <f>'[1]rig terrazza'!$AA$21</f>
        <v>27.753292365505175</v>
      </c>
      <c r="C49" s="32">
        <f>[12]Rig!$K$2</f>
        <v>15.859000000000002</v>
      </c>
      <c r="D49" s="159">
        <f>'[1]rig terrazza'!$AA$26</f>
        <v>67.24222519573803</v>
      </c>
      <c r="E49" s="32">
        <f>[12]Rig!K8</f>
        <v>59.103000000000002</v>
      </c>
      <c r="F49" s="17">
        <f>'[1]rig terrazza'!$AA$14</f>
        <v>7.5628736988824219</v>
      </c>
      <c r="G49" s="159">
        <f>[12]Rig!K14</f>
        <v>9.1009999999999991</v>
      </c>
      <c r="H49" s="159">
        <f>'[1]rig terrazza'!$AA$17</f>
        <v>25.489899803415536</v>
      </c>
      <c r="I49" s="32">
        <f>[12]Rig!$K$20</f>
        <v>20.738</v>
      </c>
      <c r="J49" s="159">
        <f>'[1]rig terrazza'!$AA$9</f>
        <v>24.822884167955547</v>
      </c>
      <c r="K49" s="32">
        <f>[12]Rig!$K$26</f>
        <v>24.682000000000002</v>
      </c>
      <c r="L49" s="159">
        <f>'[1]rig terrazza'!$AA$7</f>
        <v>24.168083181457934</v>
      </c>
      <c r="M49" s="32">
        <f>[12]Rig!$K$32</f>
        <v>9.51</v>
      </c>
      <c r="N49" s="159">
        <f>'[1]rig terrazza'!$AA$2/2</f>
        <v>24.168083181457934</v>
      </c>
      <c r="O49" s="32">
        <f>[12]Rig!$K$38</f>
        <v>19.414999999999999</v>
      </c>
      <c r="P49" s="159">
        <f>N49</f>
        <v>24.168083181457934</v>
      </c>
      <c r="Q49" s="32">
        <f>[12]Rig!$K$44</f>
        <v>18.668000000000003</v>
      </c>
    </row>
    <row r="50" spans="1:17" x14ac:dyDescent="0.25">
      <c r="A50" s="32">
        <v>5</v>
      </c>
      <c r="B50" s="159">
        <f>'[1]rig p.5'!$AA$21</f>
        <v>34.45874649091396</v>
      </c>
      <c r="C50" s="32">
        <f>[12]Rig!$K$3</f>
        <v>28.548999999999999</v>
      </c>
      <c r="D50" s="159">
        <f>'[1]rig p.5'!$AA$26</f>
        <v>83.800209715928176</v>
      </c>
      <c r="E50" s="32">
        <f>[12]Rig!K9</f>
        <v>77.055999999999997</v>
      </c>
      <c r="F50" s="17">
        <f>'[1]rig p.5'!$AA$14</f>
        <v>7.5628736988824219</v>
      </c>
      <c r="G50" s="159">
        <f>[12]Rig!K15</f>
        <v>8.4039999999999999</v>
      </c>
      <c r="H50" s="159">
        <f>'[1]rig p.5'!$AA$17</f>
        <v>29.993172777614614</v>
      </c>
      <c r="I50" s="32">
        <f>[12]Rig!$K$21</f>
        <v>26.31</v>
      </c>
      <c r="J50" s="159">
        <f>'[1]rig p.5'!$AA$9</f>
        <v>27.123975990944924</v>
      </c>
      <c r="K50" s="32">
        <f>[12]Rig!$K$27</f>
        <v>25.143999999999998</v>
      </c>
      <c r="L50" s="159">
        <f>'[1]rig p.5'!$AA$7</f>
        <v>30.873537306866716</v>
      </c>
      <c r="M50" s="32">
        <f>[12]Rig!$K$33</f>
        <v>23.771999999999998</v>
      </c>
      <c r="N50" s="159">
        <f>'[1]rig p.5'!$AA$2/2</f>
        <v>30.873537306866716</v>
      </c>
      <c r="O50" s="32">
        <f>[12]Rig!$K$39</f>
        <v>28.398999999999997</v>
      </c>
      <c r="P50" s="159">
        <f t="shared" ref="P50:P54" si="14">N50</f>
        <v>30.873537306866716</v>
      </c>
      <c r="Q50" s="32">
        <f>[12]Rig!$K$45</f>
        <v>28.313000000000002</v>
      </c>
    </row>
    <row r="51" spans="1:17" x14ac:dyDescent="0.25">
      <c r="A51" s="32">
        <v>4</v>
      </c>
      <c r="B51" s="159">
        <f>'[1]rig piano tipo'!$AA$21</f>
        <v>41.936890310889176</v>
      </c>
      <c r="C51" s="32">
        <f>[12]Rig!$K$4</f>
        <v>34.53</v>
      </c>
      <c r="D51" s="159">
        <f>'[1]rig piano tipo'!$AA$26</f>
        <v>102.6001215413375</v>
      </c>
      <c r="E51" s="32">
        <f>[12]Rig!K10</f>
        <v>93.207999999999998</v>
      </c>
      <c r="F51" s="17">
        <f>'[1]rig piano tipo'!$AA$14</f>
        <v>7.5628736988824219</v>
      </c>
      <c r="G51" s="159">
        <f>[12]Rig!K16</f>
        <v>8.07</v>
      </c>
      <c r="H51" s="159">
        <f>'[1]rig piano tipo'!$AA$17</f>
        <v>35.050720351999338</v>
      </c>
      <c r="I51" s="32">
        <f>[12]Rig!$K$22</f>
        <v>29.32</v>
      </c>
      <c r="J51" s="159">
        <f>'[1]rig piano tipo'!$AA$9</f>
        <v>29.760927319739142</v>
      </c>
      <c r="K51" s="32">
        <f>[12]Rig!$K$28</f>
        <v>26.946999999999996</v>
      </c>
      <c r="L51" s="159">
        <f>'[1]rig piano tipo'!$AA$7</f>
        <v>38.351681126841932</v>
      </c>
      <c r="M51" s="32">
        <f>[12]Rig!$K$34</f>
        <v>30.122</v>
      </c>
      <c r="N51" s="159">
        <f>'[1]rig piano tipo'!$AA$2/2</f>
        <v>38.351681126841932</v>
      </c>
      <c r="O51" s="32">
        <f>[12]Rig!$K$40</f>
        <v>33.811999999999998</v>
      </c>
      <c r="P51" s="159">
        <f t="shared" si="14"/>
        <v>38.351681126841932</v>
      </c>
      <c r="Q51" s="32">
        <f>[12]Rig!$K$46</f>
        <v>33.944000000000003</v>
      </c>
    </row>
    <row r="52" spans="1:17" x14ac:dyDescent="0.25">
      <c r="A52" s="32">
        <v>3</v>
      </c>
      <c r="B52" s="159">
        <f>'[1]rig piano tipo'!$AA$21</f>
        <v>41.936890310889176</v>
      </c>
      <c r="C52" s="32">
        <f>[12]Rig!$K$5</f>
        <v>39.022999999999996</v>
      </c>
      <c r="D52" s="159">
        <f>'[1]rig piano tipo'!$AA$26</f>
        <v>102.6001215413375</v>
      </c>
      <c r="E52" s="32">
        <f>[12]Rig!K11</f>
        <v>96.114999999999995</v>
      </c>
      <c r="F52" s="17">
        <f>'[1]rig piano tipo'!$AA$14</f>
        <v>7.5628736988824219</v>
      </c>
      <c r="G52" s="159">
        <f>[12]Rig!K17</f>
        <v>8.661999999999999</v>
      </c>
      <c r="H52" s="159">
        <f>'[1]rig piano tipo'!$AA$17</f>
        <v>35.050720351999338</v>
      </c>
      <c r="I52" s="32">
        <f>[12]Rig!$K$23</f>
        <v>31.486000000000001</v>
      </c>
      <c r="J52" s="159">
        <f>'[1]rig piano tipo'!$AA$9</f>
        <v>29.760927319739142</v>
      </c>
      <c r="K52" s="32">
        <f>[12]Rig!$K$29</f>
        <v>28.018999999999998</v>
      </c>
      <c r="L52" s="159">
        <f>'[1]rig piano tipo'!$AA$7</f>
        <v>38.351681126841932</v>
      </c>
      <c r="M52" s="32">
        <f>[12]Rig!$K$35</f>
        <v>34.673999999999999</v>
      </c>
      <c r="N52" s="159">
        <f>'[1]rig piano tipo'!$AA$2/2</f>
        <v>38.351681126841932</v>
      </c>
      <c r="O52" s="32">
        <f>[12]Rig!$K$41</f>
        <v>36.231999999999999</v>
      </c>
      <c r="P52" s="159">
        <f t="shared" si="14"/>
        <v>38.351681126841932</v>
      </c>
      <c r="Q52" s="32">
        <f>[12]Rig!$K$47</f>
        <v>36.683999999999997</v>
      </c>
    </row>
    <row r="53" spans="1:17" x14ac:dyDescent="0.25">
      <c r="A53" s="32">
        <v>2</v>
      </c>
      <c r="B53" s="159">
        <f>'[1]rig piano tipo'!$AA$21</f>
        <v>41.936890310889176</v>
      </c>
      <c r="C53" s="32">
        <f>[12]Rig!$K$6</f>
        <v>44.23</v>
      </c>
      <c r="D53" s="159">
        <f>'[1]rig piano tipo'!$AA$26</f>
        <v>102.6001215413375</v>
      </c>
      <c r="E53" s="32">
        <f>[12]Rig!K12</f>
        <v>102.991</v>
      </c>
      <c r="F53" s="17">
        <f>'[1]rig piano tipo'!$AA$14</f>
        <v>7.5628736988824219</v>
      </c>
      <c r="G53" s="159">
        <f>[12]Rig!K18</f>
        <v>8.8789999999999996</v>
      </c>
      <c r="H53" s="159">
        <f>'[1]rig piano tipo'!$AA$17</f>
        <v>35.050720351999338</v>
      </c>
      <c r="I53" s="32">
        <f>[12]Rig!$K$24</f>
        <v>33.26</v>
      </c>
      <c r="J53" s="159">
        <f>'[1]rig piano tipo'!$AA$9</f>
        <v>29.760927319739142</v>
      </c>
      <c r="K53" s="32">
        <f>[12]Rig!$K$30</f>
        <v>29.292000000000002</v>
      </c>
      <c r="L53" s="159">
        <f>'[1]rig piano tipo'!$AA$7</f>
        <v>38.351681126841932</v>
      </c>
      <c r="M53" s="32">
        <f>[12]Rig!$K$36</f>
        <v>40.206000000000003</v>
      </c>
      <c r="N53" s="159">
        <f>'[1]rig piano tipo'!$AA$2/2</f>
        <v>38.351681126841932</v>
      </c>
      <c r="O53" s="32">
        <f>[12]Rig!$K$42</f>
        <v>39.466000000000001</v>
      </c>
      <c r="P53" s="159">
        <f t="shared" si="14"/>
        <v>38.351681126841932</v>
      </c>
      <c r="Q53" s="32">
        <f>[12]Rig!$K$48</f>
        <v>40.335000000000001</v>
      </c>
    </row>
    <row r="54" spans="1:17" x14ac:dyDescent="0.25">
      <c r="A54" s="32">
        <v>1</v>
      </c>
      <c r="B54" s="159">
        <f>'[1]rig piano terra'!$AA$21</f>
        <v>65.819785975004166</v>
      </c>
      <c r="C54" s="32">
        <f>[12]Rig!$K$7</f>
        <v>62.42</v>
      </c>
      <c r="D54" s="159">
        <f>'[1]rig piano terra'!$AA$26</f>
        <v>135.89540814582699</v>
      </c>
      <c r="E54" s="32">
        <f>[12]Rig!K13</f>
        <v>124.18600000000001</v>
      </c>
      <c r="F54" s="17">
        <f>'[1]rig piano terra'!$AA$14</f>
        <v>14.548298705689344</v>
      </c>
      <c r="G54" s="159">
        <f>[12]Rig!K19</f>
        <v>14.283000000000001</v>
      </c>
      <c r="H54" s="159">
        <f>'[1]rig piano terra'!$AA$17</f>
        <v>49.242372236465116</v>
      </c>
      <c r="I54" s="32">
        <f>[12]Rig!$K$25</f>
        <v>44.363</v>
      </c>
      <c r="J54" s="159">
        <f>'[1]rig piano terra'!$AA$9</f>
        <v>33.750963250301218</v>
      </c>
      <c r="K54" s="32">
        <f>[12]Rig!$K$31</f>
        <v>30.767999999999997</v>
      </c>
      <c r="L54" s="159">
        <f>'[1]rig piano terra'!$AA$7</f>
        <v>60.246349904857603</v>
      </c>
      <c r="M54" s="32">
        <f>[12]Rig!$K$37</f>
        <v>56.847999999999999</v>
      </c>
      <c r="N54" s="159">
        <f>'[1]rig piano terra'!$AA$2/2</f>
        <v>60.246349904857603</v>
      </c>
      <c r="O54" s="32">
        <f>[12]Rig!$K$43</f>
        <v>57.129999999999995</v>
      </c>
      <c r="P54" s="159">
        <f t="shared" si="14"/>
        <v>60.246349904857603</v>
      </c>
      <c r="Q54" s="32">
        <f>[12]Rig!$K$49</f>
        <v>57.674999999999997</v>
      </c>
    </row>
    <row r="56" spans="1:17" x14ac:dyDescent="0.25">
      <c r="B56" s="192" t="s">
        <v>382</v>
      </c>
      <c r="D56" s="193" t="s">
        <v>383</v>
      </c>
      <c r="F56" s="194" t="s">
        <v>384</v>
      </c>
      <c r="H56" s="195" t="s">
        <v>385</v>
      </c>
      <c r="J56" s="196" t="s">
        <v>386</v>
      </c>
      <c r="L56" s="197" t="s">
        <v>387</v>
      </c>
      <c r="N56" s="198" t="s">
        <v>388</v>
      </c>
    </row>
    <row r="57" spans="1:17" x14ac:dyDescent="0.25">
      <c r="A57" s="189" t="s">
        <v>379</v>
      </c>
      <c r="B57" s="199" t="s">
        <v>380</v>
      </c>
      <c r="C57" s="200" t="s">
        <v>381</v>
      </c>
      <c r="D57" s="199" t="s">
        <v>380</v>
      </c>
      <c r="E57" s="200" t="s">
        <v>381</v>
      </c>
      <c r="F57" s="199" t="s">
        <v>380</v>
      </c>
      <c r="G57" s="200" t="s">
        <v>381</v>
      </c>
      <c r="H57" s="199" t="s">
        <v>380</v>
      </c>
      <c r="I57" s="200" t="s">
        <v>381</v>
      </c>
      <c r="J57" s="199" t="s">
        <v>380</v>
      </c>
      <c r="K57" s="200" t="s">
        <v>381</v>
      </c>
      <c r="L57" s="199" t="s">
        <v>380</v>
      </c>
      <c r="M57" s="200" t="s">
        <v>381</v>
      </c>
      <c r="N57" s="199" t="s">
        <v>380</v>
      </c>
      <c r="O57" s="200" t="s">
        <v>381</v>
      </c>
    </row>
    <row r="58" spans="1:17" x14ac:dyDescent="0.25">
      <c r="A58" s="32">
        <v>6</v>
      </c>
      <c r="B58" s="159">
        <f>'[1]rig terrazza'!$D$56</f>
        <v>35.669517996966754</v>
      </c>
      <c r="C58" s="32">
        <f>[12]Rig!$K$50</f>
        <v>29.404</v>
      </c>
      <c r="D58" s="159">
        <f>'[1]rig terrazza'!$G$56</f>
        <v>38.476413810784805</v>
      </c>
      <c r="E58" s="32">
        <f>[12]Rig!$K$56</f>
        <v>35.085000000000001</v>
      </c>
      <c r="F58" s="159">
        <f>'[1]rig terrazza'!$K$56</f>
        <v>60.10458640370674</v>
      </c>
      <c r="G58" s="32">
        <f>[12]Rig!$K$62</f>
        <v>55.264000000000003</v>
      </c>
      <c r="H58" s="159">
        <f>'[1]rig terrazza'!$N$56</f>
        <v>29.706490766490138</v>
      </c>
      <c r="I58" s="32">
        <f>[12]Rig!$K$68</f>
        <v>29.08</v>
      </c>
      <c r="J58" s="159">
        <f>'[1]rig terrazza'!$Q$56</f>
        <v>39.56456992581461</v>
      </c>
      <c r="K58" s="32">
        <f>[12]Rig!$K$74</f>
        <v>36.707000000000001</v>
      </c>
      <c r="L58" s="159">
        <f>'[1]rig terrazza'!$T$56</f>
        <v>56.209534474858884</v>
      </c>
      <c r="M58" s="32">
        <f>[12]Rig!$K$80</f>
        <v>49.882999999999996</v>
      </c>
      <c r="N58" s="159">
        <f>'[1]rig terrazza'!$W$56</f>
        <v>56.209534474858884</v>
      </c>
      <c r="O58" s="32">
        <f>[12]Rig!$K$86</f>
        <v>50.628</v>
      </c>
    </row>
    <row r="59" spans="1:17" x14ac:dyDescent="0.25">
      <c r="A59" s="32">
        <v>5</v>
      </c>
      <c r="B59" s="159">
        <f>'[1]rig p.5'!$D$56</f>
        <v>42.759677185925582</v>
      </c>
      <c r="C59" s="32">
        <f>[12]Rig!$K$51</f>
        <v>38.576000000000001</v>
      </c>
      <c r="D59" s="159">
        <f>'[1]rig p.5'!$G$56</f>
        <v>50.233162932898438</v>
      </c>
      <c r="E59" s="32">
        <f>[12]Rig!$K$57</f>
        <v>43.788000000000004</v>
      </c>
      <c r="F59" s="159">
        <f>'[1]rig p.5'!$K$56</f>
        <v>74.061655131425809</v>
      </c>
      <c r="G59" s="32">
        <f>[12]Rig!$K$63</f>
        <v>76.698000000000008</v>
      </c>
      <c r="H59" s="159">
        <f>'[1]rig p.5'!$N$56</f>
        <v>35.137813523534646</v>
      </c>
      <c r="I59" s="32">
        <f>[12]Rig!$K$69</f>
        <v>35.635000000000005</v>
      </c>
      <c r="J59" s="159">
        <f>'[1]rig p.5'!$Q$56</f>
        <v>48.727906431672608</v>
      </c>
      <c r="K59" s="32">
        <f>[12]Rig!$K$75</f>
        <v>48.567999999999998</v>
      </c>
      <c r="L59" s="159">
        <f>'[1]rig p.5'!$T$56</f>
        <v>68.093425885678784</v>
      </c>
      <c r="M59" s="32">
        <f>[12]Rig!$K$81</f>
        <v>64.641000000000005</v>
      </c>
      <c r="N59" s="159">
        <f>'[1]rig p.5'!$W$56</f>
        <v>68.093425885678784</v>
      </c>
      <c r="O59" s="32">
        <f>[12]Rig!$K$87</f>
        <v>65.256999999999991</v>
      </c>
    </row>
    <row r="60" spans="1:17" x14ac:dyDescent="0.25">
      <c r="A60" s="32">
        <v>4</v>
      </c>
      <c r="B60" s="159">
        <f>'[1]rig piano tipo'!$D$56</f>
        <v>50.894894318031007</v>
      </c>
      <c r="C60" s="32">
        <f>[12]Rig!$K$52</f>
        <v>45.087999999999994</v>
      </c>
      <c r="D60" s="159">
        <f>'[1]rig piano tipo'!$G$56</f>
        <v>53.701790131849052</v>
      </c>
      <c r="E60" s="32">
        <f>[12]Rig!$K$58</f>
        <v>49.637</v>
      </c>
      <c r="F60" s="159">
        <f>'[1]rig piano tipo'!$K$56</f>
        <v>89.958237965087022</v>
      </c>
      <c r="G60" s="32">
        <f>[12]Rig!$K$64</f>
        <v>90.075999999999993</v>
      </c>
      <c r="H60" s="159">
        <f>'[1]rig piano tipo'!$N$56</f>
        <v>41.219490214919205</v>
      </c>
      <c r="I60" s="32">
        <f>[12]Rig!$K$70</f>
        <v>38.448999999999998</v>
      </c>
      <c r="J60" s="159">
        <f>'[1]rig piano tipo'!$Q$56</f>
        <v>59.125911044611733</v>
      </c>
      <c r="K60" s="32">
        <f>[12]Rig!$K$76</f>
        <v>55.055999999999997</v>
      </c>
      <c r="L60" s="159">
        <f>'[1]rig piano tipo'!$T$56</f>
        <v>81.727221238506303</v>
      </c>
      <c r="M60" s="32">
        <f>[12]Rig!$K$82</f>
        <v>75.203000000000003</v>
      </c>
      <c r="N60" s="159">
        <f>'[1]rig piano tipo'!$W$56</f>
        <v>81.727221238506303</v>
      </c>
      <c r="O60" s="32">
        <f>[12]Rig!$K$88</f>
        <v>75.736999999999995</v>
      </c>
    </row>
    <row r="61" spans="1:17" x14ac:dyDescent="0.25">
      <c r="A61" s="32">
        <v>3</v>
      </c>
      <c r="B61" s="159">
        <f>'[1]rig piano tipo'!$D$56</f>
        <v>50.894894318031007</v>
      </c>
      <c r="C61" s="32">
        <f>[12]Rig!$K$53</f>
        <v>46.797999999999995</v>
      </c>
      <c r="D61" s="159">
        <f>'[1]rig piano tipo'!$G$56</f>
        <v>53.701790131849052</v>
      </c>
      <c r="E61" s="32">
        <f>[12]Rig!$K$59</f>
        <v>51.546999999999997</v>
      </c>
      <c r="F61" s="159">
        <f>'[1]rig piano tipo'!$K$56</f>
        <v>89.958237965087022</v>
      </c>
      <c r="G61" s="32">
        <f>[12]Rig!$K$65</f>
        <v>93.825999999999993</v>
      </c>
      <c r="H61" s="159">
        <f>'[1]rig piano tipo'!$N$56</f>
        <v>41.219490214919205</v>
      </c>
      <c r="I61" s="32">
        <f>[12]Rig!$K$71</f>
        <v>40.054000000000002</v>
      </c>
      <c r="J61" s="159">
        <f>'[1]rig piano tipo'!$Q$56</f>
        <v>59.125911044611733</v>
      </c>
      <c r="K61" s="32">
        <f>[12]Rig!$K$77</f>
        <v>57.125</v>
      </c>
      <c r="L61" s="159">
        <f>'[1]rig piano tipo'!$T$56</f>
        <v>81.727221238506303</v>
      </c>
      <c r="M61" s="32">
        <f>[12]Rig!$K$83</f>
        <v>77.37</v>
      </c>
      <c r="N61" s="159">
        <f>'[1]rig piano tipo'!$W$56</f>
        <v>81.727221238506303</v>
      </c>
      <c r="O61" s="32">
        <f>[12]Rig!$K$89</f>
        <v>77.797000000000011</v>
      </c>
    </row>
    <row r="62" spans="1:17" x14ac:dyDescent="0.25">
      <c r="A62" s="32">
        <v>2</v>
      </c>
      <c r="B62" s="159">
        <f>'[1]rig piano tipo'!$D$56</f>
        <v>50.894894318031007</v>
      </c>
      <c r="C62" s="32">
        <f>[12]Rig!$K$54</f>
        <v>49.008000000000003</v>
      </c>
      <c r="D62" s="159">
        <f>'[1]rig piano tipo'!$G$56</f>
        <v>53.701790131849052</v>
      </c>
      <c r="E62" s="32">
        <f>[12]Rig!$K$60</f>
        <v>53.425999999999995</v>
      </c>
      <c r="F62" s="159">
        <f>'[1]rig piano tipo'!$K$56</f>
        <v>89.958237965087022</v>
      </c>
      <c r="G62" s="32">
        <f>[12]Rig!$K$66</f>
        <v>98.024000000000001</v>
      </c>
      <c r="H62" s="159">
        <f>'[1]rig piano tipo'!$N$56</f>
        <v>41.219490214919205</v>
      </c>
      <c r="I62" s="32">
        <f>[12]Rig!$K$72</f>
        <v>39.625</v>
      </c>
      <c r="J62" s="159">
        <f>'[1]rig piano tipo'!$Q$56</f>
        <v>59.125911044611733</v>
      </c>
      <c r="K62" s="32">
        <f>[12]Rig!$K$78</f>
        <v>57.906999999999996</v>
      </c>
      <c r="L62" s="159">
        <f>'[1]rig piano tipo'!$T$56</f>
        <v>81.727221238506303</v>
      </c>
      <c r="M62" s="32">
        <f>[12]Rig!$K$84</f>
        <v>80.435000000000002</v>
      </c>
      <c r="N62" s="159">
        <f>'[1]rig piano tipo'!$W$56</f>
        <v>81.727221238506303</v>
      </c>
      <c r="O62" s="32">
        <f>[12]Rig!$K$90</f>
        <v>80.804000000000002</v>
      </c>
    </row>
    <row r="63" spans="1:17" x14ac:dyDescent="0.25">
      <c r="A63" s="32">
        <v>1</v>
      </c>
      <c r="B63" s="159">
        <f>'[1]rig piano terra'!$D$56</f>
        <v>54.999020103225369</v>
      </c>
      <c r="C63" s="32">
        <f>[12]Rig!$K$55</f>
        <v>52.420999999999992</v>
      </c>
      <c r="D63" s="159">
        <f>'[1]rig piano terra'!$G$56</f>
        <v>60.058698611864571</v>
      </c>
      <c r="E63" s="32">
        <f>[12]Rig!$K$61</f>
        <v>58.315000000000005</v>
      </c>
      <c r="F63" s="159">
        <f>'[1]rig piano terra'!$K$56</f>
        <v>112.69547592326799</v>
      </c>
      <c r="G63" s="32">
        <f>[12]Rig!$K$67</f>
        <v>114.931</v>
      </c>
      <c r="H63" s="159">
        <f>'[1]rig piano terra'!$N$56</f>
        <v>48.557696168344968</v>
      </c>
      <c r="I63" s="32">
        <f>[12]Rig!$K$73</f>
        <v>49.222999999999999</v>
      </c>
      <c r="J63" s="159">
        <f>'[1]rig piano terra'!$Q$56</f>
        <v>75.585221633152557</v>
      </c>
      <c r="K63" s="32">
        <f>[12]Rig!$K$79</f>
        <v>75.915999999999997</v>
      </c>
      <c r="L63" s="159">
        <f>'[1]rig piano terra'!$T$56</f>
        <v>92.109274393340783</v>
      </c>
      <c r="M63" s="32">
        <f>[12]Rig!$K$85</f>
        <v>88.488</v>
      </c>
      <c r="N63" s="159">
        <f>'[1]rig piano terra'!$W$56</f>
        <v>92.109274393340783</v>
      </c>
      <c r="O63" s="32">
        <f>[12]Rig!$K$91</f>
        <v>88.581999999999994</v>
      </c>
    </row>
  </sheetData>
  <mergeCells count="16">
    <mergeCell ref="M13:O13"/>
    <mergeCell ref="M14:O14"/>
    <mergeCell ref="M15:O15"/>
    <mergeCell ref="B28:E28"/>
    <mergeCell ref="B37:G37"/>
    <mergeCell ref="H18:K18"/>
    <mergeCell ref="H28:K28"/>
    <mergeCell ref="J37:O37"/>
    <mergeCell ref="B1:D1"/>
    <mergeCell ref="K12:L12"/>
    <mergeCell ref="I12:J12"/>
    <mergeCell ref="B10:E10"/>
    <mergeCell ref="B18:E18"/>
    <mergeCell ref="K13:L13"/>
    <mergeCell ref="K14:L14"/>
    <mergeCell ref="K15:L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analisi dei carichi</vt:lpstr>
      <vt:lpstr>travi</vt:lpstr>
      <vt:lpstr>pilastri</vt:lpstr>
      <vt:lpstr>masse di piano </vt:lpstr>
      <vt:lpstr>Fx  sollecitazioni e coppie</vt:lpstr>
      <vt:lpstr>Fy sollecitazioni e coppie</vt:lpstr>
      <vt:lpstr>spostamenti in x</vt:lpstr>
      <vt:lpstr>spostamento in y</vt:lpstr>
      <vt:lpstr>confronti</vt:lpstr>
      <vt:lpstr>telai in x </vt:lpstr>
      <vt:lpstr>telai in 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</dc:creator>
  <cp:lastModifiedBy>utente</cp:lastModifiedBy>
  <dcterms:created xsi:type="dcterms:W3CDTF">2016-11-13T07:58:54Z</dcterms:created>
  <dcterms:modified xsi:type="dcterms:W3CDTF">2017-02-11T14:19:50Z</dcterms:modified>
</cp:coreProperties>
</file>